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 firstSheet="1" activeTab="1"/>
  </bookViews>
  <sheets>
    <sheet name="Calcolatore  con maggiorata  1" sheetId="1" state="hidden" r:id="rId1"/>
    <sheet name="vstart" sheetId="5" r:id="rId2"/>
    <sheet name="Robybet" sheetId="2" r:id="rId3"/>
    <sheet name="Rebet.24" sheetId="7" r:id="rId4"/>
    <sheet name="." sheetId="8" r:id="rId5"/>
    <sheet name=".." sheetId="3" r:id="rId6"/>
  </sheets>
  <definedNames>
    <definedName name="_Ctrl_10" localSheetId="4" hidden="1">#REF!</definedName>
    <definedName name="_Ctrl_10" localSheetId="3" hidden="1">#REF!</definedName>
    <definedName name="_Ctrl_10" hidden="1">#REF!</definedName>
    <definedName name="_Ctrl_101" localSheetId="4" hidden="1">#REF!</definedName>
    <definedName name="_Ctrl_101" localSheetId="3" hidden="1">#REF!</definedName>
    <definedName name="_Ctrl_101" hidden="1">#REF!</definedName>
    <definedName name="_Ctrl_102" localSheetId="4" hidden="1">#REF!</definedName>
    <definedName name="_Ctrl_102" localSheetId="3" hidden="1">#REF!</definedName>
    <definedName name="_Ctrl_102" hidden="1">#REF!</definedName>
    <definedName name="_Ctrl_103" localSheetId="4" hidden="1">#REF!</definedName>
    <definedName name="_Ctrl_103" localSheetId="3" hidden="1">#REF!</definedName>
    <definedName name="_Ctrl_103" hidden="1">#REF!</definedName>
    <definedName name="_Ctrl_108" localSheetId="4" hidden="1">#REF!</definedName>
    <definedName name="_Ctrl_108" localSheetId="3" hidden="1">#REF!</definedName>
    <definedName name="_Ctrl_108" hidden="1">#REF!</definedName>
    <definedName name="_Ctrl_109" localSheetId="4" hidden="1">#REF!</definedName>
    <definedName name="_Ctrl_109" localSheetId="3" hidden="1">#REF!</definedName>
    <definedName name="_Ctrl_109" hidden="1">#REF!</definedName>
    <definedName name="_Ctrl_11" localSheetId="4" hidden="1">#REF!</definedName>
    <definedName name="_Ctrl_11" localSheetId="3" hidden="1">#REF!</definedName>
    <definedName name="_Ctrl_11" hidden="1">#REF!</definedName>
    <definedName name="_Ctrl_110" localSheetId="4" hidden="1">#REF!</definedName>
    <definedName name="_Ctrl_110" localSheetId="3" hidden="1">#REF!</definedName>
    <definedName name="_Ctrl_110" hidden="1">#REF!</definedName>
    <definedName name="_Ctrl_112" localSheetId="4" hidden="1">#REF!</definedName>
    <definedName name="_Ctrl_112" localSheetId="3" hidden="1">#REF!</definedName>
    <definedName name="_Ctrl_112" hidden="1">#REF!</definedName>
    <definedName name="_Ctrl_113" localSheetId="4" hidden="1">#REF!</definedName>
    <definedName name="_Ctrl_113" localSheetId="3" hidden="1">#REF!</definedName>
    <definedName name="_Ctrl_113" hidden="1">#REF!</definedName>
    <definedName name="_Ctrl_119" localSheetId="4" hidden="1">#REF!</definedName>
    <definedName name="_Ctrl_119" localSheetId="3" hidden="1">#REF!</definedName>
    <definedName name="_Ctrl_119" hidden="1">#REF!</definedName>
    <definedName name="_Ctrl_12" localSheetId="4" hidden="1">#REF!</definedName>
    <definedName name="_Ctrl_12" localSheetId="3" hidden="1">#REF!</definedName>
    <definedName name="_Ctrl_12" hidden="1">#REF!</definedName>
    <definedName name="_Ctrl_120" localSheetId="4" hidden="1">#REF!</definedName>
    <definedName name="_Ctrl_120" localSheetId="3" hidden="1">#REF!</definedName>
    <definedName name="_Ctrl_120" hidden="1">#REF!</definedName>
    <definedName name="_Ctrl_121" localSheetId="4" hidden="1">#REF!</definedName>
    <definedName name="_Ctrl_121" localSheetId="3" hidden="1">#REF!</definedName>
    <definedName name="_Ctrl_121" hidden="1">#REF!</definedName>
    <definedName name="_Ctrl_130" localSheetId="4" hidden="1">#REF!</definedName>
    <definedName name="_Ctrl_130" localSheetId="3" hidden="1">#REF!</definedName>
    <definedName name="_Ctrl_130" hidden="1">#REF!</definedName>
    <definedName name="_Ctrl_131" localSheetId="4" hidden="1">#REF!</definedName>
    <definedName name="_Ctrl_131" localSheetId="3" hidden="1">#REF!</definedName>
    <definedName name="_Ctrl_131" hidden="1">#REF!</definedName>
    <definedName name="_Ctrl_132" localSheetId="4" hidden="1">#REF!</definedName>
    <definedName name="_Ctrl_132" localSheetId="3" hidden="1">#REF!</definedName>
    <definedName name="_Ctrl_132" hidden="1">#REF!</definedName>
    <definedName name="_Ctrl_133" localSheetId="4" hidden="1">#REF!</definedName>
    <definedName name="_Ctrl_133" localSheetId="3" hidden="1">#REF!</definedName>
    <definedName name="_Ctrl_133" hidden="1">#REF!</definedName>
    <definedName name="_Ctrl_137" localSheetId="4" hidden="1">#REF!</definedName>
    <definedName name="_Ctrl_137" localSheetId="3" hidden="1">#REF!</definedName>
    <definedName name="_Ctrl_137" hidden="1">#REF!</definedName>
    <definedName name="_Ctrl_138" localSheetId="4" hidden="1">#REF!</definedName>
    <definedName name="_Ctrl_138" localSheetId="3" hidden="1">#REF!</definedName>
    <definedName name="_Ctrl_138" hidden="1">#REF!</definedName>
    <definedName name="_Ctrl_139" localSheetId="4" hidden="1">#REF!</definedName>
    <definedName name="_Ctrl_139" localSheetId="3" hidden="1">#REF!</definedName>
    <definedName name="_Ctrl_139" hidden="1">#REF!</definedName>
    <definedName name="_Ctrl_140" localSheetId="4" hidden="1">#REF!</definedName>
    <definedName name="_Ctrl_140" localSheetId="3" hidden="1">#REF!</definedName>
    <definedName name="_Ctrl_140" hidden="1">#REF!</definedName>
    <definedName name="_Ctrl_141" localSheetId="4" hidden="1">#REF!</definedName>
    <definedName name="_Ctrl_141" localSheetId="3" hidden="1">#REF!</definedName>
    <definedName name="_Ctrl_141" hidden="1">#REF!</definedName>
    <definedName name="_Ctrl_148" localSheetId="4" hidden="1">#REF!</definedName>
    <definedName name="_Ctrl_148" localSheetId="3" hidden="1">#REF!</definedName>
    <definedName name="_Ctrl_148" hidden="1">#REF!</definedName>
    <definedName name="_Ctrl_149" localSheetId="4" hidden="1">#REF!</definedName>
    <definedName name="_Ctrl_149" localSheetId="3" hidden="1">#REF!</definedName>
    <definedName name="_Ctrl_149" hidden="1">#REF!</definedName>
    <definedName name="_Ctrl_150" localSheetId="4" hidden="1">#REF!</definedName>
    <definedName name="_Ctrl_150" localSheetId="3" hidden="1">#REF!</definedName>
    <definedName name="_Ctrl_150" hidden="1">#REF!</definedName>
    <definedName name="_Ctrl_151" localSheetId="4" hidden="1">#REF!</definedName>
    <definedName name="_Ctrl_151" localSheetId="3" hidden="1">#REF!</definedName>
    <definedName name="_Ctrl_151" hidden="1">#REF!</definedName>
    <definedName name="_Ctrl_152" localSheetId="4" hidden="1">#REF!</definedName>
    <definedName name="_Ctrl_152" localSheetId="3" hidden="1">#REF!</definedName>
    <definedName name="_Ctrl_152" hidden="1">#REF!</definedName>
    <definedName name="_Ctrl_153" localSheetId="4" hidden="1">#REF!</definedName>
    <definedName name="_Ctrl_153" localSheetId="3" hidden="1">#REF!</definedName>
    <definedName name="_Ctrl_153" hidden="1">#REF!</definedName>
    <definedName name="_Ctrl_158" localSheetId="4" hidden="1">#REF!</definedName>
    <definedName name="_Ctrl_158" localSheetId="3" hidden="1">#REF!</definedName>
    <definedName name="_Ctrl_158" hidden="1">#REF!</definedName>
    <definedName name="_Ctrl_159" localSheetId="4" hidden="1">#REF!</definedName>
    <definedName name="_Ctrl_159" localSheetId="3" hidden="1">#REF!</definedName>
    <definedName name="_Ctrl_159" hidden="1">#REF!</definedName>
    <definedName name="_Ctrl_160" localSheetId="4" hidden="1">#REF!</definedName>
    <definedName name="_Ctrl_160" localSheetId="3" hidden="1">#REF!</definedName>
    <definedName name="_Ctrl_160" hidden="1">#REF!</definedName>
    <definedName name="_Ctrl_161" localSheetId="4" hidden="1">#REF!</definedName>
    <definedName name="_Ctrl_161" localSheetId="3" hidden="1">#REF!</definedName>
    <definedName name="_Ctrl_161" hidden="1">#REF!</definedName>
    <definedName name="_Ctrl_162" localSheetId="4" hidden="1">#REF!</definedName>
    <definedName name="_Ctrl_162" localSheetId="3" hidden="1">#REF!</definedName>
    <definedName name="_Ctrl_162" hidden="1">#REF!</definedName>
    <definedName name="_Ctrl_163" localSheetId="4" hidden="1">#REF!</definedName>
    <definedName name="_Ctrl_163" localSheetId="3" hidden="1">#REF!</definedName>
    <definedName name="_Ctrl_163" hidden="1">#REF!</definedName>
    <definedName name="_Ctrl_168" localSheetId="4" hidden="1">#REF!</definedName>
    <definedName name="_Ctrl_168" localSheetId="3" hidden="1">#REF!</definedName>
    <definedName name="_Ctrl_168" hidden="1">#REF!</definedName>
    <definedName name="_Ctrl_169" localSheetId="4" hidden="1">#REF!</definedName>
    <definedName name="_Ctrl_169" localSheetId="3" hidden="1">#REF!</definedName>
    <definedName name="_Ctrl_169" hidden="1">#REF!</definedName>
    <definedName name="_Ctrl_170" localSheetId="4" hidden="1">#REF!</definedName>
    <definedName name="_Ctrl_170" localSheetId="3" hidden="1">#REF!</definedName>
    <definedName name="_Ctrl_170" hidden="1">#REF!</definedName>
    <definedName name="_Ctrl_171" localSheetId="4" hidden="1">#REF!</definedName>
    <definedName name="_Ctrl_171" localSheetId="3" hidden="1">#REF!</definedName>
    <definedName name="_Ctrl_171" hidden="1">#REF!</definedName>
    <definedName name="_Ctrl_172" localSheetId="4" hidden="1">#REF!</definedName>
    <definedName name="_Ctrl_172" localSheetId="3" hidden="1">#REF!</definedName>
    <definedName name="_Ctrl_172" hidden="1">#REF!</definedName>
    <definedName name="_Ctrl_173" localSheetId="4" hidden="1">#REF!</definedName>
    <definedName name="_Ctrl_173" localSheetId="3" hidden="1">#REF!</definedName>
    <definedName name="_Ctrl_173" hidden="1">#REF!</definedName>
    <definedName name="_Ctrl_175" localSheetId="4" hidden="1">#REF!</definedName>
    <definedName name="_Ctrl_175" localSheetId="3" hidden="1">#REF!</definedName>
    <definedName name="_Ctrl_175" hidden="1">#REF!</definedName>
    <definedName name="_Ctrl_176" localSheetId="4" hidden="1">#REF!</definedName>
    <definedName name="_Ctrl_176" localSheetId="3" hidden="1">#REF!</definedName>
    <definedName name="_Ctrl_176" hidden="1">#REF!</definedName>
    <definedName name="_Ctrl_178" localSheetId="4" hidden="1">#REF!</definedName>
    <definedName name="_Ctrl_178" localSheetId="3" hidden="1">#REF!</definedName>
    <definedName name="_Ctrl_178" hidden="1">#REF!</definedName>
    <definedName name="_Ctrl_179" localSheetId="4" hidden="1">#REF!</definedName>
    <definedName name="_Ctrl_179" localSheetId="3" hidden="1">#REF!</definedName>
    <definedName name="_Ctrl_179" hidden="1">#REF!</definedName>
    <definedName name="_Ctrl_180" localSheetId="4" hidden="1">#REF!</definedName>
    <definedName name="_Ctrl_180" localSheetId="3" hidden="1">#REF!</definedName>
    <definedName name="_Ctrl_180" hidden="1">#REF!</definedName>
    <definedName name="_Ctrl_181" localSheetId="4" hidden="1">#REF!</definedName>
    <definedName name="_Ctrl_181" localSheetId="3" hidden="1">#REF!</definedName>
    <definedName name="_Ctrl_181" hidden="1">#REF!</definedName>
    <definedName name="_Ctrl_182" localSheetId="4" hidden="1">#REF!</definedName>
    <definedName name="_Ctrl_182" localSheetId="3" hidden="1">#REF!</definedName>
    <definedName name="_Ctrl_182" hidden="1">#REF!</definedName>
    <definedName name="_Ctrl_183" localSheetId="4" hidden="1">#REF!</definedName>
    <definedName name="_Ctrl_183" localSheetId="3" hidden="1">#REF!</definedName>
    <definedName name="_Ctrl_183" hidden="1">#REF!</definedName>
    <definedName name="_Ctrl_190" localSheetId="4" hidden="1">#REF!</definedName>
    <definedName name="_Ctrl_190" localSheetId="3" hidden="1">#REF!</definedName>
    <definedName name="_Ctrl_190" hidden="1">#REF!</definedName>
    <definedName name="_Ctrl_191" localSheetId="4" hidden="1">#REF!</definedName>
    <definedName name="_Ctrl_191" localSheetId="3" hidden="1">#REF!</definedName>
    <definedName name="_Ctrl_191" hidden="1">#REF!</definedName>
    <definedName name="_Ctrl_192" localSheetId="4" hidden="1">#REF!</definedName>
    <definedName name="_Ctrl_192" localSheetId="3" hidden="1">#REF!</definedName>
    <definedName name="_Ctrl_192" hidden="1">#REF!</definedName>
    <definedName name="_Ctrl_193" localSheetId="4" hidden="1">#REF!</definedName>
    <definedName name="_Ctrl_193" localSheetId="3" hidden="1">#REF!</definedName>
    <definedName name="_Ctrl_193" hidden="1">#REF!</definedName>
    <definedName name="_Ctrl_195" localSheetId="4" hidden="1">#REF!</definedName>
    <definedName name="_Ctrl_195" localSheetId="3" hidden="1">#REF!</definedName>
    <definedName name="_Ctrl_195" hidden="1">#REF!</definedName>
    <definedName name="_Ctrl_196" localSheetId="4" hidden="1">#REF!</definedName>
    <definedName name="_Ctrl_196" localSheetId="3" hidden="1">#REF!</definedName>
    <definedName name="_Ctrl_196" hidden="1">#REF!</definedName>
    <definedName name="_Ctrl_198" localSheetId="4" hidden="1">#REF!</definedName>
    <definedName name="_Ctrl_198" localSheetId="3" hidden="1">#REF!</definedName>
    <definedName name="_Ctrl_198" hidden="1">#REF!</definedName>
    <definedName name="_Ctrl_199" localSheetId="4" hidden="1">#REF!</definedName>
    <definedName name="_Ctrl_199" localSheetId="3" hidden="1">#REF!</definedName>
    <definedName name="_Ctrl_199" hidden="1">#REF!</definedName>
    <definedName name="_Ctrl_200" localSheetId="4" hidden="1">#REF!</definedName>
    <definedName name="_Ctrl_200" localSheetId="3" hidden="1">#REF!</definedName>
    <definedName name="_Ctrl_200" hidden="1">#REF!</definedName>
    <definedName name="_Ctrl_201" localSheetId="4" hidden="1">#REF!</definedName>
    <definedName name="_Ctrl_201" localSheetId="3" hidden="1">#REF!</definedName>
    <definedName name="_Ctrl_201" hidden="1">#REF!</definedName>
    <definedName name="_Ctrl_210" localSheetId="4" hidden="1">#REF!</definedName>
    <definedName name="_Ctrl_210" localSheetId="3" hidden="1">#REF!</definedName>
    <definedName name="_Ctrl_210" hidden="1">#REF!</definedName>
    <definedName name="_Ctrl_211" localSheetId="4" hidden="1">#REF!</definedName>
    <definedName name="_Ctrl_211" localSheetId="3" hidden="1">#REF!</definedName>
    <definedName name="_Ctrl_211" hidden="1">#REF!</definedName>
    <definedName name="_Ctrl_212" localSheetId="4" hidden="1">#REF!</definedName>
    <definedName name="_Ctrl_212" localSheetId="3" hidden="1">#REF!</definedName>
    <definedName name="_Ctrl_212" hidden="1">#REF!</definedName>
    <definedName name="_Ctrl_213" localSheetId="4" hidden="1">#REF!</definedName>
    <definedName name="_Ctrl_213" localSheetId="3" hidden="1">#REF!</definedName>
    <definedName name="_Ctrl_213" hidden="1">#REF!</definedName>
    <definedName name="_Ctrl_215" localSheetId="4" hidden="1">#REF!</definedName>
    <definedName name="_Ctrl_215" localSheetId="3" hidden="1">#REF!</definedName>
    <definedName name="_Ctrl_215" hidden="1">#REF!</definedName>
    <definedName name="_Ctrl_216" localSheetId="4" hidden="1">#REF!</definedName>
    <definedName name="_Ctrl_216" localSheetId="3" hidden="1">#REF!</definedName>
    <definedName name="_Ctrl_216" hidden="1">#REF!</definedName>
    <definedName name="_Ctrl_218" localSheetId="4" hidden="1">#REF!</definedName>
    <definedName name="_Ctrl_218" localSheetId="3" hidden="1">#REF!</definedName>
    <definedName name="_Ctrl_218" hidden="1">#REF!</definedName>
    <definedName name="_Ctrl_219" localSheetId="4" hidden="1">#REF!</definedName>
    <definedName name="_Ctrl_219" localSheetId="3" hidden="1">#REF!</definedName>
    <definedName name="_Ctrl_219" hidden="1">#REF!</definedName>
    <definedName name="_Ctrl_220" localSheetId="4" hidden="1">#REF!</definedName>
    <definedName name="_Ctrl_220" localSheetId="3" hidden="1">#REF!</definedName>
    <definedName name="_Ctrl_220" hidden="1">#REF!</definedName>
    <definedName name="_Ctrl_221" localSheetId="4" hidden="1">#REF!</definedName>
    <definedName name="_Ctrl_221" localSheetId="3" hidden="1">#REF!</definedName>
    <definedName name="_Ctrl_221" hidden="1">#REF!</definedName>
    <definedName name="_Ctrl_230" localSheetId="4" hidden="1">#REF!</definedName>
    <definedName name="_Ctrl_230" localSheetId="3" hidden="1">#REF!</definedName>
    <definedName name="_Ctrl_230" hidden="1">#REF!</definedName>
    <definedName name="_Ctrl_231" localSheetId="4" hidden="1">#REF!</definedName>
    <definedName name="_Ctrl_231" localSheetId="3" hidden="1">#REF!</definedName>
    <definedName name="_Ctrl_231" hidden="1">#REF!</definedName>
    <definedName name="_Ctrl_232" localSheetId="4" hidden="1">#REF!</definedName>
    <definedName name="_Ctrl_232" localSheetId="3" hidden="1">#REF!</definedName>
    <definedName name="_Ctrl_232" hidden="1">#REF!</definedName>
    <definedName name="_Ctrl_233" localSheetId="4" hidden="1">#REF!</definedName>
    <definedName name="_Ctrl_233" localSheetId="3" hidden="1">#REF!</definedName>
    <definedName name="_Ctrl_233" hidden="1">#REF!</definedName>
    <definedName name="_Ctrl_235" localSheetId="4" hidden="1">#REF!</definedName>
    <definedName name="_Ctrl_235" localSheetId="3" hidden="1">#REF!</definedName>
    <definedName name="_Ctrl_235" hidden="1">#REF!</definedName>
    <definedName name="_Ctrl_236" localSheetId="4" hidden="1">#REF!</definedName>
    <definedName name="_Ctrl_236" localSheetId="3" hidden="1">#REF!</definedName>
    <definedName name="_Ctrl_236" hidden="1">#REF!</definedName>
    <definedName name="_Ctrl_238" localSheetId="4" hidden="1">#REF!</definedName>
    <definedName name="_Ctrl_238" localSheetId="3" hidden="1">#REF!</definedName>
    <definedName name="_Ctrl_238" hidden="1">#REF!</definedName>
    <definedName name="_Ctrl_239" localSheetId="4" hidden="1">#REF!</definedName>
    <definedName name="_Ctrl_239" localSheetId="3" hidden="1">#REF!</definedName>
    <definedName name="_Ctrl_239" hidden="1">#REF!</definedName>
    <definedName name="_Ctrl_240" localSheetId="4" hidden="1">#REF!</definedName>
    <definedName name="_Ctrl_240" localSheetId="3" hidden="1">#REF!</definedName>
    <definedName name="_Ctrl_240" hidden="1">#REF!</definedName>
    <definedName name="_Ctrl_241" localSheetId="4" hidden="1">#REF!</definedName>
    <definedName name="_Ctrl_241" localSheetId="3" hidden="1">#REF!</definedName>
    <definedName name="_Ctrl_241" hidden="1">#REF!</definedName>
    <definedName name="_Ctrl_249" localSheetId="4" hidden="1">#REF!</definedName>
    <definedName name="_Ctrl_249" localSheetId="3" hidden="1">#REF!</definedName>
    <definedName name="_Ctrl_249" hidden="1">#REF!</definedName>
    <definedName name="_Ctrl_250" localSheetId="4" hidden="1">#REF!</definedName>
    <definedName name="_Ctrl_250" localSheetId="3" hidden="1">#REF!</definedName>
    <definedName name="_Ctrl_250" hidden="1">#REF!</definedName>
    <definedName name="_Ctrl_251" localSheetId="4" hidden="1">#REF!</definedName>
    <definedName name="_Ctrl_251" localSheetId="3" hidden="1">#REF!</definedName>
    <definedName name="_Ctrl_251" hidden="1">#REF!</definedName>
    <definedName name="_Ctrl_252" localSheetId="4" hidden="1">#REF!</definedName>
    <definedName name="_Ctrl_252" localSheetId="3" hidden="1">#REF!</definedName>
    <definedName name="_Ctrl_252" hidden="1">#REF!</definedName>
    <definedName name="_Ctrl_253" localSheetId="4" hidden="1">#REF!</definedName>
    <definedName name="_Ctrl_253" localSheetId="3" hidden="1">#REF!</definedName>
    <definedName name="_Ctrl_253" hidden="1">#REF!</definedName>
    <definedName name="_Ctrl_254" localSheetId="4" hidden="1">#REF!</definedName>
    <definedName name="_Ctrl_254" localSheetId="3" hidden="1">#REF!</definedName>
    <definedName name="_Ctrl_254" hidden="1">#REF!</definedName>
    <definedName name="_Ctrl_256" localSheetId="4" hidden="1">#REF!</definedName>
    <definedName name="_Ctrl_256" localSheetId="3" hidden="1">#REF!</definedName>
    <definedName name="_Ctrl_256" hidden="1">#REF!</definedName>
    <definedName name="_Ctrl_257" localSheetId="4" hidden="1">#REF!</definedName>
    <definedName name="_Ctrl_257" localSheetId="3" hidden="1">#REF!</definedName>
    <definedName name="_Ctrl_257" hidden="1">#REF!</definedName>
    <definedName name="_Ctrl_259" localSheetId="4" hidden="1">#REF!</definedName>
    <definedName name="_Ctrl_259" localSheetId="3" hidden="1">#REF!</definedName>
    <definedName name="_Ctrl_259" hidden="1">#REF!</definedName>
    <definedName name="_Ctrl_260" localSheetId="4" hidden="1">#REF!</definedName>
    <definedName name="_Ctrl_260" localSheetId="3" hidden="1">#REF!</definedName>
    <definedName name="_Ctrl_260" hidden="1">#REF!</definedName>
    <definedName name="_Ctrl_261" localSheetId="4" hidden="1">#REF!</definedName>
    <definedName name="_Ctrl_261" localSheetId="3" hidden="1">#REF!</definedName>
    <definedName name="_Ctrl_261" hidden="1">#REF!</definedName>
    <definedName name="_Ctrl_262" localSheetId="4" hidden="1">#REF!</definedName>
    <definedName name="_Ctrl_262" localSheetId="3" hidden="1">#REF!</definedName>
    <definedName name="_Ctrl_262" hidden="1">#REF!</definedName>
    <definedName name="_Ctrl_263" localSheetId="4" hidden="1">#REF!</definedName>
    <definedName name="_Ctrl_263" localSheetId="3" hidden="1">#REF!</definedName>
    <definedName name="_Ctrl_263" hidden="1">#REF!</definedName>
    <definedName name="_Ctrl_264" localSheetId="4" hidden="1">#REF!</definedName>
    <definedName name="_Ctrl_264" localSheetId="3" hidden="1">#REF!</definedName>
    <definedName name="_Ctrl_264" hidden="1">#REF!</definedName>
    <definedName name="_Ctrl_265" localSheetId="4" hidden="1">#REF!</definedName>
    <definedName name="_Ctrl_265" localSheetId="3" hidden="1">#REF!</definedName>
    <definedName name="_Ctrl_265" hidden="1">#REF!</definedName>
    <definedName name="_Ctrl_266" localSheetId="4" hidden="1">#REF!</definedName>
    <definedName name="_Ctrl_266" localSheetId="3" hidden="1">#REF!</definedName>
    <definedName name="_Ctrl_266" hidden="1">#REF!</definedName>
    <definedName name="_Ctrl_267" localSheetId="4" hidden="1">#REF!</definedName>
    <definedName name="_Ctrl_267" localSheetId="3" hidden="1">#REF!</definedName>
    <definedName name="_Ctrl_267" hidden="1">#REF!</definedName>
    <definedName name="_Ctrl_287" localSheetId="4" hidden="1">#REF!</definedName>
    <definedName name="_Ctrl_287" localSheetId="3" hidden="1">#REF!</definedName>
    <definedName name="_Ctrl_287" hidden="1">#REF!</definedName>
    <definedName name="_Ctrl_316" localSheetId="4" hidden="1">#REF!</definedName>
    <definedName name="_Ctrl_316" localSheetId="3" hidden="1">#REF!</definedName>
    <definedName name="_Ctrl_316" hidden="1">#REF!</definedName>
    <definedName name="_Ctrl_43" localSheetId="4" hidden="1">#REF!</definedName>
    <definedName name="_Ctrl_43" localSheetId="3" hidden="1">#REF!</definedName>
    <definedName name="_Ctrl_43" hidden="1">#REF!</definedName>
    <definedName name="_Ctrl_6" localSheetId="4" hidden="1">#REF!</definedName>
    <definedName name="_Ctrl_6" localSheetId="3" hidden="1">#REF!</definedName>
    <definedName name="_Ctrl_6" hidden="1">#REF!</definedName>
    <definedName name="_Ctrl_68" localSheetId="4" hidden="1">#REF!</definedName>
    <definedName name="_Ctrl_68" localSheetId="3" hidden="1">#REF!</definedName>
    <definedName name="_Ctrl_68" hidden="1">#REF!</definedName>
    <definedName name="_Ctrl_69" localSheetId="4" hidden="1">#REF!</definedName>
    <definedName name="_Ctrl_69" localSheetId="3" hidden="1">#REF!</definedName>
    <definedName name="_Ctrl_69" hidden="1">#REF!</definedName>
    <definedName name="_Ctrl_70" localSheetId="4" hidden="1">#REF!</definedName>
    <definedName name="_Ctrl_70" localSheetId="3" hidden="1">#REF!</definedName>
    <definedName name="_Ctrl_70" hidden="1">#REF!</definedName>
    <definedName name="_Ctrl_71" localSheetId="4" hidden="1">#REF!</definedName>
    <definedName name="_Ctrl_71" localSheetId="3" hidden="1">#REF!</definedName>
    <definedName name="_Ctrl_71" hidden="1">#REF!</definedName>
    <definedName name="_Ctrl_8" localSheetId="4" hidden="1">#REF!</definedName>
    <definedName name="_Ctrl_8" localSheetId="3" hidden="1">#REF!</definedName>
    <definedName name="_Ctrl_8" hidden="1">#REF!</definedName>
    <definedName name="_Ctrl_80" localSheetId="4" hidden="1">#REF!</definedName>
    <definedName name="_Ctrl_80" localSheetId="3" hidden="1">#REF!</definedName>
    <definedName name="_Ctrl_80" hidden="1">#REF!</definedName>
    <definedName name="_Ctrl_81" localSheetId="4" hidden="1">#REF!</definedName>
    <definedName name="_Ctrl_81" localSheetId="3" hidden="1">#REF!</definedName>
    <definedName name="_Ctrl_81" hidden="1">#REF!</definedName>
    <definedName name="_Ctrl_82" localSheetId="4" hidden="1">#REF!</definedName>
    <definedName name="_Ctrl_82" localSheetId="3" hidden="1">#REF!</definedName>
    <definedName name="_Ctrl_82" hidden="1">#REF!</definedName>
    <definedName name="_Ctrl_83" localSheetId="4" hidden="1">#REF!</definedName>
    <definedName name="_Ctrl_83" localSheetId="3" hidden="1">#REF!</definedName>
    <definedName name="_Ctrl_83" hidden="1">#REF!</definedName>
    <definedName name="_Ctrl_88" localSheetId="4" hidden="1">#REF!</definedName>
    <definedName name="_Ctrl_88" localSheetId="3" hidden="1">#REF!</definedName>
    <definedName name="_Ctrl_88" hidden="1">#REF!</definedName>
    <definedName name="_Ctrl_89" localSheetId="4" hidden="1">#REF!</definedName>
    <definedName name="_Ctrl_89" localSheetId="3" hidden="1">#REF!</definedName>
    <definedName name="_Ctrl_89" hidden="1">#REF!</definedName>
    <definedName name="_Ctrl_9" localSheetId="4" hidden="1">#REF!</definedName>
    <definedName name="_Ctrl_9" localSheetId="3" hidden="1">#REF!</definedName>
    <definedName name="_Ctrl_9" hidden="1">#REF!</definedName>
    <definedName name="_Ctrl_90" localSheetId="4" hidden="1">#REF!</definedName>
    <definedName name="_Ctrl_90" localSheetId="3" hidden="1">#REF!</definedName>
    <definedName name="_Ctrl_90" hidden="1">#REF!</definedName>
    <definedName name="_Ctrl_91" localSheetId="4" hidden="1">#REF!</definedName>
    <definedName name="_Ctrl_91" localSheetId="3" hidden="1">#REF!</definedName>
    <definedName name="_Ctrl_91" hidden="1">#REF!</definedName>
    <definedName name="_Ctrl_98" localSheetId="4" hidden="1">#REF!</definedName>
    <definedName name="_Ctrl_98" localSheetId="3" hidden="1">#REF!</definedName>
    <definedName name="_Ctrl_98" hidden="1">#REF!</definedName>
    <definedName name="_Ctrl_99" localSheetId="4" hidden="1">#REF!</definedName>
    <definedName name="_Ctrl_99" localSheetId="3" hidden="1">#REF!</definedName>
    <definedName name="_Ctrl_99" hidden="1">#REF!</definedName>
    <definedName name="ValAmmessi" localSheetId="4">'.'!$BR$3:$BR$10</definedName>
    <definedName name="ValAmmessi">'..'!$BR$3:$BR$10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" l="1"/>
  <c r="M37" i="5"/>
  <c r="G51" i="5" l="1"/>
  <c r="G50" i="5"/>
  <c r="G49" i="5"/>
  <c r="G48" i="5"/>
  <c r="F82" i="2"/>
  <c r="F81" i="2"/>
  <c r="F80" i="2"/>
  <c r="F79" i="2"/>
  <c r="F74" i="7"/>
  <c r="F73" i="7"/>
  <c r="F72" i="7"/>
  <c r="F71" i="7"/>
  <c r="M62" i="7"/>
  <c r="D61" i="7"/>
  <c r="J62" i="7" s="1"/>
  <c r="E59" i="7"/>
  <c r="G58" i="7"/>
  <c r="F58" i="7"/>
  <c r="G57" i="7"/>
  <c r="F57" i="7"/>
  <c r="G56" i="7"/>
  <c r="F56" i="7"/>
  <c r="G55" i="7"/>
  <c r="F55" i="7"/>
  <c r="G54" i="7"/>
  <c r="G59" i="7" s="1"/>
  <c r="F54" i="7"/>
  <c r="F59" i="7" s="1"/>
  <c r="D37" i="7"/>
  <c r="H38" i="7" s="1"/>
  <c r="E36" i="7"/>
  <c r="E37" i="7" s="1"/>
  <c r="E35" i="7"/>
  <c r="E38" i="7" s="1"/>
  <c r="F38" i="7" s="1"/>
  <c r="CA2" i="8"/>
  <c r="CA3" i="8"/>
  <c r="CA4" i="8"/>
  <c r="CA5" i="8"/>
  <c r="AN6" i="8"/>
  <c r="AN7" i="8"/>
  <c r="AN8" i="8"/>
  <c r="AN9" i="8"/>
  <c r="AN10" i="8"/>
  <c r="AN11" i="8"/>
  <c r="AN12" i="8"/>
  <c r="AN5" i="8"/>
  <c r="AL6" i="8"/>
  <c r="AL7" i="8"/>
  <c r="AL8" i="8"/>
  <c r="AL9" i="8"/>
  <c r="AL10" i="8"/>
  <c r="AL11" i="8"/>
  <c r="AL12" i="8"/>
  <c r="AL5" i="8"/>
  <c r="AI12" i="8"/>
  <c r="AI11" i="8"/>
  <c r="AI10" i="8"/>
  <c r="AI9" i="8"/>
  <c r="AI8" i="8"/>
  <c r="AJ8" i="8" s="1"/>
  <c r="AI7" i="8"/>
  <c r="AI6" i="8"/>
  <c r="AI5" i="8"/>
  <c r="AI5" i="3"/>
  <c r="BH3" i="8"/>
  <c r="BH4" i="8" s="1"/>
  <c r="BH5" i="8" s="1"/>
  <c r="BH6" i="8" s="1"/>
  <c r="BH7" i="8" s="1"/>
  <c r="BH8" i="8" s="1"/>
  <c r="BH9" i="8" s="1"/>
  <c r="BH10" i="8" s="1"/>
  <c r="BH11" i="8" s="1"/>
  <c r="BH12" i="8" s="1"/>
  <c r="BH13" i="8" s="1"/>
  <c r="BH14" i="8" s="1"/>
  <c r="BH15" i="8" s="1"/>
  <c r="BH16" i="8" s="1"/>
  <c r="BH17" i="8" s="1"/>
  <c r="BH18" i="8" s="1"/>
  <c r="BH19" i="8" s="1"/>
  <c r="BH20" i="8" s="1"/>
  <c r="BH21" i="8" s="1"/>
  <c r="BH22" i="8" s="1"/>
  <c r="BH23" i="8" s="1"/>
  <c r="BH24" i="8" s="1"/>
  <c r="BH25" i="8" s="1"/>
  <c r="BH26" i="8" s="1"/>
  <c r="BH27" i="8" s="1"/>
  <c r="BH28" i="8" s="1"/>
  <c r="BH29" i="8" s="1"/>
  <c r="BH30" i="8" s="1"/>
  <c r="BH31" i="8" s="1"/>
  <c r="BH32" i="8" s="1"/>
  <c r="BH33" i="8" s="1"/>
  <c r="BH34" i="8" s="1"/>
  <c r="BH35" i="8" s="1"/>
  <c r="BH36" i="8" s="1"/>
  <c r="BH37" i="8" s="1"/>
  <c r="BH38" i="8" s="1"/>
  <c r="BH39" i="8" s="1"/>
  <c r="BH40" i="8" s="1"/>
  <c r="BH41" i="8" s="1"/>
  <c r="BH42" i="8" s="1"/>
  <c r="BH43" i="8" s="1"/>
  <c r="BH44" i="8" s="1"/>
  <c r="BH45" i="8" s="1"/>
  <c r="BH46" i="8" s="1"/>
  <c r="BH47" i="8" s="1"/>
  <c r="BH48" i="8" s="1"/>
  <c r="BH49" i="8" s="1"/>
  <c r="BH50" i="8" s="1"/>
  <c r="BH54" i="8" s="1"/>
  <c r="BH55" i="8" s="1"/>
  <c r="BH56" i="8" s="1"/>
  <c r="BH57" i="8" s="1"/>
  <c r="BH58" i="8" s="1"/>
  <c r="BH59" i="8" s="1"/>
  <c r="BH60" i="8" s="1"/>
  <c r="BH61" i="8" s="1"/>
  <c r="BH62" i="8" s="1"/>
  <c r="BH63" i="8" s="1"/>
  <c r="BH64" i="8" s="1"/>
  <c r="BH65" i="8" s="1"/>
  <c r="BH66" i="8" s="1"/>
  <c r="BH67" i="8" s="1"/>
  <c r="BH68" i="8" s="1"/>
  <c r="BH69" i="8" s="1"/>
  <c r="BH70" i="8" s="1"/>
  <c r="BH71" i="8" s="1"/>
  <c r="BH72" i="8" s="1"/>
  <c r="BH73" i="8" s="1"/>
  <c r="BH74" i="8" s="1"/>
  <c r="BH75" i="8" s="1"/>
  <c r="BH76" i="8" s="1"/>
  <c r="BH77" i="8" s="1"/>
  <c r="BH78" i="8" s="1"/>
  <c r="BH79" i="8" s="1"/>
  <c r="BH80" i="8" s="1"/>
  <c r="BH81" i="8" s="1"/>
  <c r="BH82" i="8" s="1"/>
  <c r="BH83" i="8" s="1"/>
  <c r="BH84" i="8" s="1"/>
  <c r="BH85" i="8" s="1"/>
  <c r="BH86" i="8" s="1"/>
  <c r="BH87" i="8" s="1"/>
  <c r="BH88" i="8" s="1"/>
  <c r="BH89" i="8" s="1"/>
  <c r="BH90" i="8" s="1"/>
  <c r="BH91" i="8" s="1"/>
  <c r="BH92" i="8" s="1"/>
  <c r="BH93" i="8" s="1"/>
  <c r="BH94" i="8" s="1"/>
  <c r="BH95" i="8" s="1"/>
  <c r="BH96" i="8" s="1"/>
  <c r="BH97" i="8" s="1"/>
  <c r="BH98" i="8" s="1"/>
  <c r="BH99" i="8" s="1"/>
  <c r="BH100" i="8" s="1"/>
  <c r="BH101" i="8" s="1"/>
  <c r="BC101" i="8"/>
  <c r="BC100" i="8"/>
  <c r="BC99" i="8"/>
  <c r="BC98" i="8"/>
  <c r="BC97" i="8"/>
  <c r="BC96" i="8"/>
  <c r="BC95" i="8"/>
  <c r="BC94" i="8"/>
  <c r="BC93" i="8"/>
  <c r="BC92" i="8"/>
  <c r="BC91" i="8"/>
  <c r="BC90" i="8"/>
  <c r="BC89" i="8"/>
  <c r="BC88" i="8"/>
  <c r="BC87" i="8"/>
  <c r="BC86" i="8"/>
  <c r="BC85" i="8"/>
  <c r="BC84" i="8"/>
  <c r="BC83" i="8"/>
  <c r="BC82" i="8"/>
  <c r="BC81" i="8"/>
  <c r="BC80" i="8"/>
  <c r="BC79" i="8"/>
  <c r="BC78" i="8"/>
  <c r="BC77" i="8"/>
  <c r="BC76" i="8"/>
  <c r="BC75" i="8"/>
  <c r="BC74" i="8"/>
  <c r="BC73" i="8"/>
  <c r="BC72" i="8"/>
  <c r="BC71" i="8"/>
  <c r="BC70" i="8"/>
  <c r="BC69" i="8"/>
  <c r="BC68" i="8"/>
  <c r="BC67" i="8"/>
  <c r="BC66" i="8"/>
  <c r="BC65" i="8"/>
  <c r="BC64" i="8"/>
  <c r="BC63" i="8"/>
  <c r="BC62" i="8"/>
  <c r="BC61" i="8"/>
  <c r="BC60" i="8"/>
  <c r="BC59" i="8"/>
  <c r="BC58" i="8"/>
  <c r="BC57" i="8"/>
  <c r="BC56" i="8"/>
  <c r="BC55" i="8"/>
  <c r="BC54" i="8"/>
  <c r="BC50" i="8"/>
  <c r="BC49" i="8"/>
  <c r="BC48" i="8"/>
  <c r="BC47" i="8"/>
  <c r="BW46" i="8"/>
  <c r="BV46" i="8"/>
  <c r="BS46" i="8"/>
  <c r="BR46" i="8"/>
  <c r="BC46" i="8"/>
  <c r="BW45" i="8"/>
  <c r="BV45" i="8"/>
  <c r="BS45" i="8"/>
  <c r="BR45" i="8"/>
  <c r="BC45" i="8"/>
  <c r="BW44" i="8"/>
  <c r="BV44" i="8"/>
  <c r="BS44" i="8"/>
  <c r="BR44" i="8"/>
  <c r="BC44" i="8"/>
  <c r="BW43" i="8"/>
  <c r="BV43" i="8"/>
  <c r="BS43" i="8"/>
  <c r="BR43" i="8"/>
  <c r="BC43" i="8"/>
  <c r="BW42" i="8"/>
  <c r="BV42" i="8"/>
  <c r="BS42" i="8"/>
  <c r="BR42" i="8"/>
  <c r="BC42" i="8"/>
  <c r="BW41" i="8"/>
  <c r="BV41" i="8"/>
  <c r="BS41" i="8"/>
  <c r="BR41" i="8"/>
  <c r="BC41" i="8"/>
  <c r="BC40" i="8"/>
  <c r="BC39" i="8"/>
  <c r="BC38" i="8"/>
  <c r="BC37" i="8"/>
  <c r="BC36" i="8"/>
  <c r="BC35" i="8"/>
  <c r="BC34" i="8"/>
  <c r="BC33" i="8"/>
  <c r="BC32" i="8"/>
  <c r="BC31" i="8"/>
  <c r="BC30" i="8"/>
  <c r="BC29" i="8"/>
  <c r="BC28" i="8"/>
  <c r="BC27" i="8"/>
  <c r="BC26" i="8"/>
  <c r="BC25" i="8"/>
  <c r="BC24" i="8"/>
  <c r="BC23" i="8"/>
  <c r="BC22" i="8"/>
  <c r="BC21" i="8"/>
  <c r="BC20" i="8"/>
  <c r="BC19" i="8"/>
  <c r="BC18" i="8"/>
  <c r="BC17" i="8"/>
  <c r="BC16" i="8"/>
  <c r="BC15" i="8"/>
  <c r="BC14" i="8"/>
  <c r="BC13" i="8"/>
  <c r="BC12" i="8"/>
  <c r="BC11" i="8"/>
  <c r="BC10" i="8"/>
  <c r="BC9" i="8"/>
  <c r="BC8" i="8"/>
  <c r="BC7" i="8"/>
  <c r="BC6" i="8"/>
  <c r="BC5" i="8"/>
  <c r="BC4" i="8"/>
  <c r="CA11" i="8"/>
  <c r="BC3" i="8"/>
  <c r="BE54" i="7"/>
  <c r="BD29" i="7"/>
  <c r="BC29" i="7"/>
  <c r="BB29" i="7" s="1"/>
  <c r="BD28" i="7" s="1"/>
  <c r="BC28" i="7"/>
  <c r="N17" i="7"/>
  <c r="I10" i="7"/>
  <c r="P12" i="7" s="1"/>
  <c r="I8" i="7"/>
  <c r="Q48" i="5" l="1"/>
  <c r="O48" i="5"/>
  <c r="J48" i="5"/>
  <c r="Q49" i="5"/>
  <c r="O49" i="5"/>
  <c r="J49" i="5"/>
  <c r="Q50" i="5"/>
  <c r="O50" i="5"/>
  <c r="J50" i="5"/>
  <c r="Q51" i="5"/>
  <c r="O51" i="5"/>
  <c r="J51" i="5"/>
  <c r="O79" i="2"/>
  <c r="M79" i="2"/>
  <c r="O80" i="2"/>
  <c r="M80" i="2"/>
  <c r="O81" i="2"/>
  <c r="M81" i="2"/>
  <c r="O82" i="2"/>
  <c r="M82" i="2"/>
  <c r="G36" i="7"/>
  <c r="H34" i="7" s="1"/>
  <c r="O71" i="7"/>
  <c r="M71" i="7"/>
  <c r="O72" i="7"/>
  <c r="M72" i="7"/>
  <c r="O73" i="7"/>
  <c r="M73" i="7"/>
  <c r="O74" i="7"/>
  <c r="M74" i="7"/>
  <c r="CA6" i="8"/>
  <c r="CA9" i="8" s="1"/>
  <c r="AJ6" i="8"/>
  <c r="AJ10" i="8"/>
  <c r="CA14" i="8"/>
  <c r="CA13" i="8"/>
  <c r="AJ5" i="8"/>
  <c r="AJ7" i="8"/>
  <c r="AJ9" i="8"/>
  <c r="AJ11" i="8"/>
  <c r="AJ12" i="8"/>
  <c r="BD53" i="7"/>
  <c r="BD54" i="7"/>
  <c r="D68" i="2"/>
  <c r="E66" i="2"/>
  <c r="BD57" i="2" s="1"/>
  <c r="G65" i="2"/>
  <c r="F65" i="2"/>
  <c r="G64" i="2"/>
  <c r="F64" i="2"/>
  <c r="G63" i="2"/>
  <c r="F63" i="2"/>
  <c r="G62" i="2"/>
  <c r="F62" i="2"/>
  <c r="BE59" i="2"/>
  <c r="G61" i="2"/>
  <c r="F61" i="2"/>
  <c r="D41" i="2"/>
  <c r="E40" i="2"/>
  <c r="E41" i="2" s="1"/>
  <c r="E39" i="2"/>
  <c r="BC33" i="2" s="1"/>
  <c r="BD34" i="2"/>
  <c r="BC34" i="2"/>
  <c r="BB34" i="2" s="1"/>
  <c r="BD33" i="2" s="1"/>
  <c r="E34" i="5"/>
  <c r="BE27" i="5" s="1"/>
  <c r="G33" i="5"/>
  <c r="F33" i="5"/>
  <c r="G32" i="5"/>
  <c r="F32" i="5"/>
  <c r="G31" i="5"/>
  <c r="F31" i="5"/>
  <c r="G30" i="5"/>
  <c r="F30" i="5"/>
  <c r="BF29" i="5"/>
  <c r="G29" i="5"/>
  <c r="F29" i="5"/>
  <c r="J20" i="5"/>
  <c r="E18" i="5"/>
  <c r="E17" i="5"/>
  <c r="BE4" i="5" s="1"/>
  <c r="BD5" i="5" s="1"/>
  <c r="BF5" i="5" s="1"/>
  <c r="BF6" i="5"/>
  <c r="BE6" i="5"/>
  <c r="BE5" i="5"/>
  <c r="K34" i="7" l="1"/>
  <c r="J34" i="7"/>
  <c r="H33" i="7"/>
  <c r="E42" i="2"/>
  <c r="F42" i="2" s="1"/>
  <c r="CA8" i="8"/>
  <c r="P13" i="7" s="1"/>
  <c r="Q12" i="7" s="1"/>
  <c r="CA7" i="8"/>
  <c r="CA12" i="8" s="1"/>
  <c r="P9" i="7" s="1"/>
  <c r="I7" i="7" s="1"/>
  <c r="I9" i="7" s="1"/>
  <c r="I12" i="7" s="1"/>
  <c r="P6" i="7" s="1"/>
  <c r="P8" i="7" s="1"/>
  <c r="I14" i="7" s="1"/>
  <c r="CA10" i="8"/>
  <c r="F34" i="5"/>
  <c r="BE28" i="5" s="1"/>
  <c r="BD28" i="5" s="1"/>
  <c r="BF28" i="5" s="1"/>
  <c r="F66" i="2"/>
  <c r="BD58" i="2" s="1"/>
  <c r="BC58" i="2" s="1"/>
  <c r="BE58" i="2" s="1"/>
  <c r="G34" i="5"/>
  <c r="G66" i="2"/>
  <c r="BD59" i="2" s="1"/>
  <c r="F40" i="2"/>
  <c r="H38" i="2" s="1"/>
  <c r="BD6" i="5"/>
  <c r="BF4" i="5" s="1"/>
  <c r="E19" i="5"/>
  <c r="BE29" i="5"/>
  <c r="K33" i="7" l="1"/>
  <c r="J33" i="7"/>
  <c r="H32" i="7"/>
  <c r="BC59" i="2"/>
  <c r="C15" i="7"/>
  <c r="AM7" i="8"/>
  <c r="AM9" i="8"/>
  <c r="AM11" i="8"/>
  <c r="AM5" i="8"/>
  <c r="AM6" i="8"/>
  <c r="AM8" i="8"/>
  <c r="AM10" i="8"/>
  <c r="AM12" i="8"/>
  <c r="H21" i="7"/>
  <c r="P7" i="7"/>
  <c r="P10" i="7" s="1"/>
  <c r="H22" i="7"/>
  <c r="K38" i="7" s="1"/>
  <c r="BD29" i="5"/>
  <c r="BF27" i="5" s="1"/>
  <c r="BE57" i="2"/>
  <c r="G67" i="2"/>
  <c r="G69" i="2" s="1"/>
  <c r="H69" i="2" s="1"/>
  <c r="F67" i="2"/>
  <c r="F69" i="2" s="1"/>
  <c r="E67" i="2"/>
  <c r="K38" i="2"/>
  <c r="J38" i="2"/>
  <c r="H37" i="2"/>
  <c r="D36" i="5"/>
  <c r="K32" i="7" l="1"/>
  <c r="J32" i="7"/>
  <c r="H31" i="7"/>
  <c r="P11" i="7"/>
  <c r="N21" i="7"/>
  <c r="K37" i="2"/>
  <c r="J37" i="2"/>
  <c r="H36" i="2"/>
  <c r="E68" i="2"/>
  <c r="E69" i="2"/>
  <c r="H67" i="2"/>
  <c r="J65" i="2" s="1"/>
  <c r="J37" i="5"/>
  <c r="G35" i="5"/>
  <c r="F35" i="5"/>
  <c r="F37" i="5" s="1"/>
  <c r="E35" i="5"/>
  <c r="O21" i="7" l="1"/>
  <c r="N24" i="7"/>
  <c r="K31" i="7"/>
  <c r="J31" i="7"/>
  <c r="H30" i="7"/>
  <c r="M65" i="2"/>
  <c r="L65" i="2"/>
  <c r="J64" i="2"/>
  <c r="K36" i="2"/>
  <c r="J36" i="2"/>
  <c r="H35" i="2"/>
  <c r="E36" i="5"/>
  <c r="E37" i="5"/>
  <c r="G37" i="5"/>
  <c r="H37" i="5" s="1"/>
  <c r="I35" i="5"/>
  <c r="K30" i="7" l="1"/>
  <c r="L30" i="7" s="1"/>
  <c r="N30" i="7" s="1"/>
  <c r="J30" i="7"/>
  <c r="L33" i="7"/>
  <c r="N33" i="7" s="1"/>
  <c r="L31" i="7"/>
  <c r="N31" i="7" s="1"/>
  <c r="K35" i="2"/>
  <c r="J35" i="2"/>
  <c r="H34" i="2"/>
  <c r="M64" i="2"/>
  <c r="L64" i="2"/>
  <c r="J63" i="2"/>
  <c r="K35" i="5"/>
  <c r="J33" i="5" s="1"/>
  <c r="M31" i="7" l="1"/>
  <c r="M33" i="7"/>
  <c r="I38" i="7"/>
  <c r="M38" i="7" s="1"/>
  <c r="N22" i="7" s="1"/>
  <c r="L34" i="7"/>
  <c r="N34" i="7" s="1"/>
  <c r="L32" i="7"/>
  <c r="N32" i="7" s="1"/>
  <c r="N23" i="7"/>
  <c r="L24" i="7" s="1"/>
  <c r="M30" i="7"/>
  <c r="M63" i="2"/>
  <c r="L63" i="2"/>
  <c r="J62" i="2"/>
  <c r="K34" i="2"/>
  <c r="L34" i="2" s="1"/>
  <c r="J34" i="2"/>
  <c r="L35" i="2" s="1"/>
  <c r="L37" i="2"/>
  <c r="M33" i="5"/>
  <c r="L33" i="5"/>
  <c r="J32" i="5"/>
  <c r="M32" i="7" l="1"/>
  <c r="M34" i="7"/>
  <c r="M35" i="2"/>
  <c r="M37" i="2"/>
  <c r="I42" i="2"/>
  <c r="L38" i="2"/>
  <c r="L36" i="2"/>
  <c r="M34" i="2"/>
  <c r="I23" i="2"/>
  <c r="M62" i="2"/>
  <c r="L62" i="2"/>
  <c r="J61" i="2"/>
  <c r="M32" i="5"/>
  <c r="L32" i="5"/>
  <c r="J31" i="5"/>
  <c r="M61" i="2" l="1"/>
  <c r="N61" i="2" s="1"/>
  <c r="I54" i="2" s="1"/>
  <c r="L61" i="2"/>
  <c r="N64" i="2"/>
  <c r="N62" i="2"/>
  <c r="M36" i="2"/>
  <c r="M38" i="2"/>
  <c r="M31" i="5"/>
  <c r="L31" i="5"/>
  <c r="J30" i="5"/>
  <c r="L30" i="5" s="1"/>
  <c r="O62" i="2" l="1"/>
  <c r="O64" i="2"/>
  <c r="K69" i="2"/>
  <c r="N65" i="2"/>
  <c r="N63" i="2"/>
  <c r="O61" i="2"/>
  <c r="M30" i="5"/>
  <c r="J29" i="5"/>
  <c r="M29" i="5" l="1"/>
  <c r="N29" i="5" s="1"/>
  <c r="L29" i="5"/>
  <c r="H23" i="7"/>
  <c r="O63" i="2"/>
  <c r="O65" i="2"/>
  <c r="J21" i="5"/>
  <c r="O29" i="5" l="1"/>
  <c r="P29" i="5"/>
  <c r="N32" i="5"/>
  <c r="P32" i="5" s="1"/>
  <c r="N31" i="5"/>
  <c r="P31" i="5" s="1"/>
  <c r="N33" i="5"/>
  <c r="P33" i="5" s="1"/>
  <c r="K37" i="5"/>
  <c r="O37" i="5" s="1"/>
  <c r="N30" i="5"/>
  <c r="P30" i="5" s="1"/>
  <c r="J23" i="5"/>
  <c r="J22" i="5"/>
  <c r="O31" i="5" l="1"/>
  <c r="O30" i="5"/>
  <c r="O33" i="5"/>
  <c r="O32" i="5"/>
  <c r="BC101" i="3"/>
  <c r="BC100" i="3"/>
  <c r="BC99" i="3"/>
  <c r="BC98" i="3"/>
  <c r="BC97" i="3"/>
  <c r="BC96" i="3"/>
  <c r="BC93" i="3"/>
  <c r="BC92" i="3"/>
  <c r="BC91" i="3"/>
  <c r="BC90" i="3"/>
  <c r="BC89" i="3"/>
  <c r="BC88" i="3"/>
  <c r="BC85" i="3"/>
  <c r="BC84" i="3"/>
  <c r="BC83" i="3"/>
  <c r="BC82" i="3"/>
  <c r="BC81" i="3"/>
  <c r="BC80" i="3"/>
  <c r="BC77" i="3"/>
  <c r="BC76" i="3"/>
  <c r="BC75" i="3"/>
  <c r="BC74" i="3"/>
  <c r="BC70" i="3"/>
  <c r="BC69" i="3"/>
  <c r="BC68" i="3"/>
  <c r="BC67" i="3"/>
  <c r="BC66" i="3"/>
  <c r="BC62" i="3"/>
  <c r="BC61" i="3"/>
  <c r="BC60" i="3"/>
  <c r="BC59" i="3"/>
  <c r="BC54" i="3"/>
  <c r="BC42" i="3"/>
  <c r="BC41" i="3"/>
  <c r="BC40" i="3"/>
  <c r="BC39" i="3"/>
  <c r="BC50" i="3"/>
  <c r="BC49" i="3"/>
  <c r="BC48" i="3"/>
  <c r="BC47" i="3"/>
  <c r="BC46" i="3"/>
  <c r="AJ5" i="3"/>
  <c r="AL5" i="3"/>
  <c r="AN5" i="3"/>
  <c r="AI6" i="3"/>
  <c r="AJ6" i="3" s="1"/>
  <c r="AL6" i="3"/>
  <c r="AN6" i="3"/>
  <c r="AI7" i="3"/>
  <c r="AJ7" i="3" s="1"/>
  <c r="AL7" i="3"/>
  <c r="AN7" i="3"/>
  <c r="AI8" i="3"/>
  <c r="AJ8" i="3" s="1"/>
  <c r="AL8" i="3"/>
  <c r="AN8" i="3"/>
  <c r="AI9" i="3"/>
  <c r="AJ9" i="3" s="1"/>
  <c r="AL9" i="3"/>
  <c r="AN9" i="3"/>
  <c r="AI10" i="3"/>
  <c r="AJ10" i="3" s="1"/>
  <c r="AL10" i="3"/>
  <c r="AN10" i="3"/>
  <c r="AI11" i="3"/>
  <c r="AJ11" i="3" s="1"/>
  <c r="AL11" i="3"/>
  <c r="AN11" i="3"/>
  <c r="AI12" i="3"/>
  <c r="AJ12" i="3" s="1"/>
  <c r="AL12" i="3"/>
  <c r="AN12" i="3"/>
  <c r="BC34" i="3"/>
  <c r="BC33" i="3"/>
  <c r="BC32" i="3"/>
  <c r="BC11" i="3"/>
  <c r="BC4" i="3"/>
  <c r="BC3" i="3"/>
  <c r="BC19" i="3"/>
  <c r="N17" i="2"/>
  <c r="BW46" i="3" l="1"/>
  <c r="BW45" i="3"/>
  <c r="BW44" i="3"/>
  <c r="BV46" i="3"/>
  <c r="BV45" i="3"/>
  <c r="BV44" i="3"/>
  <c r="BC87" i="3"/>
  <c r="BC86" i="3"/>
  <c r="BV43" i="3"/>
  <c r="BV42" i="3"/>
  <c r="BV41" i="3"/>
  <c r="BS46" i="3"/>
  <c r="BS45" i="3"/>
  <c r="BS44" i="3"/>
  <c r="BS43" i="3"/>
  <c r="BS42" i="3"/>
  <c r="BS41" i="3"/>
  <c r="BR46" i="3"/>
  <c r="BR45" i="3"/>
  <c r="BR44" i="3"/>
  <c r="BR43" i="3"/>
  <c r="BR42" i="3"/>
  <c r="BR41" i="3"/>
  <c r="CA2" i="3" l="1"/>
  <c r="BW41" i="3"/>
  <c r="BC58" i="3"/>
  <c r="BC57" i="3"/>
  <c r="BC56" i="3"/>
  <c r="BC55" i="3"/>
  <c r="BC10" i="3"/>
  <c r="BC9" i="3"/>
  <c r="BC8" i="3"/>
  <c r="BC7" i="3"/>
  <c r="BC6" i="3"/>
  <c r="BC5" i="3"/>
  <c r="BW43" i="3"/>
  <c r="BW42" i="3"/>
  <c r="BC95" i="3"/>
  <c r="BC94" i="3"/>
  <c r="BC79" i="3"/>
  <c r="BC78" i="3"/>
  <c r="BC73" i="3"/>
  <c r="BC72" i="3"/>
  <c r="BC71" i="3"/>
  <c r="BC65" i="3"/>
  <c r="BC64" i="3"/>
  <c r="BC63" i="3"/>
  <c r="BC45" i="3"/>
  <c r="BC44" i="3"/>
  <c r="BC43" i="3"/>
  <c r="BC38" i="3"/>
  <c r="BC37" i="3"/>
  <c r="BC36" i="3"/>
  <c r="BC35" i="3"/>
  <c r="BC31" i="3"/>
  <c r="BC30" i="3"/>
  <c r="BC29" i="3"/>
  <c r="BC28" i="3"/>
  <c r="BC27" i="3"/>
  <c r="BC26" i="3"/>
  <c r="BC25" i="3"/>
  <c r="BC24" i="3"/>
  <c r="BC23" i="3"/>
  <c r="BC22" i="3"/>
  <c r="BC21" i="3"/>
  <c r="BC20" i="3"/>
  <c r="BC18" i="3"/>
  <c r="BC17" i="3"/>
  <c r="BC16" i="3"/>
  <c r="BC15" i="3"/>
  <c r="BC14" i="3"/>
  <c r="BC13" i="3"/>
  <c r="BC12" i="3"/>
  <c r="CA5" i="3"/>
  <c r="I10" i="2"/>
  <c r="CA4" i="3"/>
  <c r="CA3" i="3"/>
  <c r="CA11" i="3" s="1"/>
  <c r="P12" i="2" l="1"/>
  <c r="CA13" i="3"/>
  <c r="CA14" i="3"/>
  <c r="CA6" i="3"/>
  <c r="CA10" i="3" l="1"/>
  <c r="CA9" i="3"/>
  <c r="CA8" i="3"/>
  <c r="CA7" i="3"/>
  <c r="P13" i="2" l="1"/>
  <c r="Q12" i="2" s="1"/>
  <c r="CA12" i="3"/>
  <c r="P9" i="2" s="1"/>
  <c r="I21" i="2" l="1"/>
  <c r="I52" i="2"/>
  <c r="AM5" i="3"/>
  <c r="AM6" i="3"/>
  <c r="AM12" i="3"/>
  <c r="AM7" i="3"/>
  <c r="AM8" i="3"/>
  <c r="AM10" i="3"/>
  <c r="AM9" i="3"/>
  <c r="AM11" i="3"/>
  <c r="I7" i="2"/>
  <c r="D5" i="1"/>
  <c r="AO8" i="8" l="1"/>
  <c r="AK8" i="8"/>
  <c r="AO10" i="8"/>
  <c r="AK10" i="8"/>
  <c r="AO5" i="8"/>
  <c r="AK5" i="8"/>
  <c r="AO6" i="8"/>
  <c r="AK6" i="8"/>
  <c r="AO7" i="8"/>
  <c r="AK7" i="8"/>
  <c r="AO11" i="8"/>
  <c r="AK11" i="8"/>
  <c r="AO9" i="8"/>
  <c r="AK9" i="8"/>
  <c r="AO12" i="8"/>
  <c r="AK12" i="8"/>
  <c r="AO7" i="3"/>
  <c r="AK7" i="3"/>
  <c r="AO12" i="3"/>
  <c r="AK12" i="3"/>
  <c r="AO10" i="3"/>
  <c r="AK10" i="3"/>
  <c r="AK6" i="3"/>
  <c r="AO6" i="3"/>
  <c r="AO11" i="3"/>
  <c r="AK11" i="3"/>
  <c r="AO9" i="3"/>
  <c r="AK9" i="3"/>
  <c r="AO8" i="3"/>
  <c r="AK8" i="3"/>
  <c r="AO5" i="3"/>
  <c r="AK5" i="3"/>
  <c r="C15" i="2"/>
  <c r="I8" i="2"/>
  <c r="G38" i="1"/>
  <c r="D47" i="1" s="1"/>
  <c r="D36" i="1"/>
  <c r="D39" i="1" s="1"/>
  <c r="G34" i="1" s="1"/>
  <c r="H35" i="1" s="1"/>
  <c r="G19" i="1"/>
  <c r="D29" i="1" s="1"/>
  <c r="D17" i="1"/>
  <c r="D21" i="1" s="1"/>
  <c r="G15" i="1" s="1"/>
  <c r="D7" i="1"/>
  <c r="D28" i="1" s="1"/>
  <c r="D30" i="1" s="1"/>
  <c r="D6" i="1"/>
  <c r="AP12" i="8" l="1"/>
  <c r="AQ12" i="8" s="1"/>
  <c r="AT12" i="8" s="1"/>
  <c r="AU12" i="8" s="1"/>
  <c r="BR10" i="8" s="1"/>
  <c r="AP9" i="8"/>
  <c r="AQ9" i="8" s="1"/>
  <c r="AT9" i="8" s="1"/>
  <c r="AU9" i="8" s="1"/>
  <c r="BR7" i="8" s="1"/>
  <c r="AP11" i="8"/>
  <c r="AQ11" i="8" s="1"/>
  <c r="AP7" i="8"/>
  <c r="AQ7" i="8" s="1"/>
  <c r="AP6" i="8"/>
  <c r="AQ6" i="8" s="1"/>
  <c r="AT6" i="8" s="1"/>
  <c r="AU6" i="8" s="1"/>
  <c r="BR4" i="8" s="1"/>
  <c r="BS4" i="8" s="1"/>
  <c r="BQ4" i="8" s="1"/>
  <c r="AP10" i="8"/>
  <c r="AQ10" i="8" s="1"/>
  <c r="AT10" i="8" s="1"/>
  <c r="AU10" i="8" s="1"/>
  <c r="BR8" i="8" s="1"/>
  <c r="AP8" i="8"/>
  <c r="AQ8" i="8" s="1"/>
  <c r="AT8" i="8" s="1"/>
  <c r="AU8" i="8" s="1"/>
  <c r="BR6" i="8" s="1"/>
  <c r="AP5" i="8"/>
  <c r="AQ5" i="8" s="1"/>
  <c r="AT5" i="8" s="1"/>
  <c r="AU5" i="8" s="1"/>
  <c r="BR3" i="8" s="1"/>
  <c r="BS3" i="8" s="1"/>
  <c r="AR12" i="8"/>
  <c r="AS12" i="8" s="1"/>
  <c r="AR9" i="8"/>
  <c r="AS9" i="8" s="1"/>
  <c r="AT11" i="8"/>
  <c r="AU11" i="8" s="1"/>
  <c r="BR9" i="8" s="1"/>
  <c r="AT7" i="8"/>
  <c r="AU7" i="8" s="1"/>
  <c r="BR5" i="8" s="1"/>
  <c r="AP9" i="3"/>
  <c r="AQ9" i="3" s="1"/>
  <c r="AT9" i="3" s="1"/>
  <c r="AU9" i="3" s="1"/>
  <c r="AP5" i="3"/>
  <c r="AQ5" i="3" s="1"/>
  <c r="AT5" i="3" s="1"/>
  <c r="AU5" i="3" s="1"/>
  <c r="AP8" i="3"/>
  <c r="AR8" i="3" s="1"/>
  <c r="AS8" i="3" s="1"/>
  <c r="AP11" i="3"/>
  <c r="AQ11" i="3" s="1"/>
  <c r="AT11" i="3" s="1"/>
  <c r="AU11" i="3" s="1"/>
  <c r="AP12" i="3"/>
  <c r="AR12" i="3" s="1"/>
  <c r="AS12" i="3" s="1"/>
  <c r="AP7" i="3"/>
  <c r="AQ7" i="3" s="1"/>
  <c r="AT7" i="3" s="1"/>
  <c r="AU7" i="3" s="1"/>
  <c r="BR5" i="3" s="1"/>
  <c r="AP10" i="3"/>
  <c r="AR10" i="3" s="1"/>
  <c r="AS10" i="3" s="1"/>
  <c r="AP6" i="3"/>
  <c r="I9" i="2"/>
  <c r="D8" i="1"/>
  <c r="D11" i="1" s="1"/>
  <c r="G4" i="1" s="1"/>
  <c r="G6" i="1" s="1"/>
  <c r="G17" i="1"/>
  <c r="G16" i="1"/>
  <c r="G20" i="1" s="1"/>
  <c r="H29" i="1" s="1"/>
  <c r="D46" i="1"/>
  <c r="D48" i="1" s="1"/>
  <c r="G36" i="1"/>
  <c r="H34" i="1"/>
  <c r="G35" i="1"/>
  <c r="G39" i="1" s="1"/>
  <c r="H47" i="1" s="1"/>
  <c r="AR10" i="8" l="1"/>
  <c r="AS10" i="8" s="1"/>
  <c r="AR8" i="8"/>
  <c r="AS8" i="8" s="1"/>
  <c r="AR6" i="8"/>
  <c r="AS6" i="8" s="1"/>
  <c r="AR11" i="8"/>
  <c r="AS11" i="8" s="1"/>
  <c r="AR5" i="8"/>
  <c r="AS5" i="8" s="1"/>
  <c r="AR7" i="8"/>
  <c r="AS7" i="8" s="1"/>
  <c r="BS5" i="8"/>
  <c r="BQ5" i="8" s="1"/>
  <c r="BQ3" i="8"/>
  <c r="I12" i="2"/>
  <c r="P6" i="2" s="1"/>
  <c r="P7" i="2" s="1"/>
  <c r="P10" i="2" s="1"/>
  <c r="O52" i="2" s="1"/>
  <c r="O55" i="2" s="1"/>
  <c r="AR9" i="3"/>
  <c r="AS9" i="3" s="1"/>
  <c r="AQ10" i="3"/>
  <c r="AT10" i="3" s="1"/>
  <c r="AU10" i="3" s="1"/>
  <c r="BR8" i="3" s="1"/>
  <c r="AR5" i="3"/>
  <c r="AS5" i="3" s="1"/>
  <c r="AQ12" i="3"/>
  <c r="AT12" i="3" s="1"/>
  <c r="AU12" i="3" s="1"/>
  <c r="BR10" i="3" s="1"/>
  <c r="AQ8" i="3"/>
  <c r="AT8" i="3" s="1"/>
  <c r="AU8" i="3" s="1"/>
  <c r="BR6" i="3" s="1"/>
  <c r="AR11" i="3"/>
  <c r="AS11" i="3" s="1"/>
  <c r="AR7" i="3"/>
  <c r="AS7" i="3" s="1"/>
  <c r="AR6" i="3"/>
  <c r="AS6" i="3" s="1"/>
  <c r="AQ6" i="3"/>
  <c r="AT6" i="3" s="1"/>
  <c r="AU6" i="3" s="1"/>
  <c r="BR3" i="3"/>
  <c r="BS3" i="3" s="1"/>
  <c r="BR7" i="3"/>
  <c r="BR9" i="3"/>
  <c r="G5" i="1"/>
  <c r="G9" i="1" s="1"/>
  <c r="G8" i="1"/>
  <c r="H28" i="1"/>
  <c r="H30" i="1" s="1"/>
  <c r="BQ3" i="3" l="1"/>
  <c r="BS6" i="8"/>
  <c r="BQ6" i="8" s="1"/>
  <c r="BS7" i="8"/>
  <c r="P52" i="2"/>
  <c r="P11" i="2"/>
  <c r="O21" i="2"/>
  <c r="O24" i="2" s="1"/>
  <c r="P8" i="2"/>
  <c r="BR4" i="3"/>
  <c r="BS4" i="3" s="1"/>
  <c r="BT3" i="3" s="1"/>
  <c r="H46" i="1"/>
  <c r="H48" i="1" s="1"/>
  <c r="H49" i="1" s="1"/>
  <c r="H31" i="1"/>
  <c r="BQ7" i="8" l="1"/>
  <c r="BS8" i="8"/>
  <c r="P21" i="2"/>
  <c r="I14" i="2"/>
  <c r="BQ4" i="3"/>
  <c r="BS5" i="3"/>
  <c r="BQ5" i="3" s="1"/>
  <c r="BQ8" i="8" l="1"/>
  <c r="BS9" i="8"/>
  <c r="I53" i="2"/>
  <c r="M69" i="2"/>
  <c r="O69" i="2" s="1"/>
  <c r="P53" i="2" s="1"/>
  <c r="I22" i="2"/>
  <c r="BS6" i="3"/>
  <c r="BQ6" i="3" s="1"/>
  <c r="BQ9" i="8" l="1"/>
  <c r="BS10" i="8"/>
  <c r="BQ10" i="8" s="1"/>
  <c r="BQ11" i="8"/>
  <c r="P65" i="2"/>
  <c r="P64" i="2"/>
  <c r="P63" i="2"/>
  <c r="P62" i="2"/>
  <c r="P61" i="2"/>
  <c r="K42" i="2"/>
  <c r="M42" i="2" s="1"/>
  <c r="O22" i="2" s="1"/>
  <c r="O53" i="2" s="1"/>
  <c r="N35" i="2"/>
  <c r="N37" i="2"/>
  <c r="N34" i="2"/>
  <c r="N36" i="2"/>
  <c r="N38" i="2"/>
  <c r="BS7" i="3"/>
  <c r="BQ7" i="3" s="1"/>
  <c r="BT3" i="8" l="1"/>
  <c r="P22" i="2"/>
  <c r="P23" i="2" s="1"/>
  <c r="P54" i="2"/>
  <c r="M55" i="2" s="1"/>
  <c r="O23" i="2"/>
  <c r="M24" i="2" s="1"/>
  <c r="BS8" i="3"/>
  <c r="BQ8" i="3" s="1"/>
  <c r="J7" i="7" l="1"/>
  <c r="BV3" i="8"/>
  <c r="K7" i="7" s="1"/>
  <c r="BU3" i="8"/>
  <c r="BT4" i="8" s="1"/>
  <c r="O54" i="2"/>
  <c r="BS9" i="3"/>
  <c r="BS10" i="3" s="1"/>
  <c r="BQ10" i="3" s="1"/>
  <c r="BV4" i="8" l="1"/>
  <c r="K8" i="7" s="1"/>
  <c r="J8" i="7"/>
  <c r="BU4" i="8"/>
  <c r="BT5" i="8" s="1"/>
  <c r="BQ9" i="3"/>
  <c r="BQ11" i="3" s="1"/>
  <c r="J9" i="7" l="1"/>
  <c r="BV5" i="8"/>
  <c r="K9" i="7" s="1"/>
  <c r="BU5" i="8"/>
  <c r="BT6" i="8" s="1"/>
  <c r="J7" i="2"/>
  <c r="BU3" i="3"/>
  <c r="BT4" i="3" s="1"/>
  <c r="BV3" i="3"/>
  <c r="K7" i="2" s="1"/>
  <c r="J10" i="7" l="1"/>
  <c r="BU6" i="8"/>
  <c r="BV6" i="8"/>
  <c r="K10" i="7" s="1"/>
  <c r="J8" i="2"/>
  <c r="BV4" i="3"/>
  <c r="K8" i="2" s="1"/>
  <c r="BU4" i="3"/>
  <c r="BT5" i="3" s="1"/>
  <c r="BT7" i="8" l="1"/>
  <c r="BU7" i="8" s="1"/>
  <c r="BT8" i="8" s="1"/>
  <c r="J9" i="2"/>
  <c r="BU5" i="3"/>
  <c r="BT6" i="3" s="1"/>
  <c r="BV5" i="3"/>
  <c r="J11" i="7" l="1"/>
  <c r="BV7" i="8"/>
  <c r="K11" i="7" s="1"/>
  <c r="J12" i="7"/>
  <c r="BU8" i="8"/>
  <c r="BT9" i="8" s="1"/>
  <c r="BV8" i="8"/>
  <c r="K12" i="7" s="1"/>
  <c r="K9" i="2"/>
  <c r="J10" i="2"/>
  <c r="BV6" i="3"/>
  <c r="BU6" i="3"/>
  <c r="BT7" i="3" s="1"/>
  <c r="J13" i="7" l="1"/>
  <c r="BV9" i="8"/>
  <c r="K13" i="7" s="1"/>
  <c r="BU9" i="8"/>
  <c r="BT10" i="8" s="1"/>
  <c r="K10" i="2"/>
  <c r="J11" i="2"/>
  <c r="BU7" i="3"/>
  <c r="BT8" i="3" s="1"/>
  <c r="BV7" i="3"/>
  <c r="J14" i="7" l="1"/>
  <c r="BV10" i="8"/>
  <c r="K14" i="7" s="1"/>
  <c r="BU10" i="8"/>
  <c r="K11" i="2"/>
  <c r="J12" i="2"/>
  <c r="BU8" i="3"/>
  <c r="BT9" i="3" s="1"/>
  <c r="BV8" i="3"/>
  <c r="K12" i="2" l="1"/>
  <c r="J13" i="2"/>
  <c r="BV9" i="3"/>
  <c r="BU9" i="3"/>
  <c r="BT10" i="3" s="1"/>
  <c r="K13" i="2" l="1"/>
  <c r="J14" i="2"/>
  <c r="BU10" i="3"/>
  <c r="BV10" i="3"/>
  <c r="K14" i="2" l="1"/>
  <c r="O58" i="7"/>
  <c r="P58" i="7"/>
  <c r="P57" i="7"/>
  <c r="O57" i="7"/>
  <c r="P56" i="7"/>
  <c r="O56" i="7"/>
  <c r="L58" i="7"/>
  <c r="E62" i="7"/>
  <c r="F62" i="7"/>
  <c r="K62" i="7"/>
  <c r="N57" i="7"/>
  <c r="M57" i="7"/>
  <c r="L57" i="7"/>
  <c r="F60" i="7"/>
  <c r="BE53" i="7"/>
  <c r="O55" i="7"/>
  <c r="O54" i="7"/>
  <c r="N56" i="7"/>
  <c r="L54" i="7"/>
  <c r="O62" i="7"/>
  <c r="L56" i="7"/>
  <c r="M56" i="7"/>
  <c r="L55" i="7"/>
  <c r="BC54" i="7"/>
  <c r="BE52" i="7"/>
  <c r="M58" i="7"/>
  <c r="N58" i="7"/>
  <c r="P54" i="7"/>
  <c r="O22" i="7"/>
  <c r="M55" i="7"/>
  <c r="N55" i="7"/>
  <c r="P55" i="7"/>
  <c r="O23" i="7"/>
  <c r="J57" i="7"/>
  <c r="J56" i="7"/>
  <c r="J55" i="7"/>
  <c r="J54" i="7"/>
  <c r="M54" i="7"/>
  <c r="N54" i="7"/>
  <c r="G60" i="7"/>
  <c r="G62" i="7"/>
  <c r="H62" i="7"/>
  <c r="H60" i="7"/>
  <c r="J58" i="7"/>
  <c r="BC53" i="7"/>
  <c r="E60" i="7"/>
  <c r="E61" i="7"/>
  <c r="BD52" i="7"/>
</calcChain>
</file>

<file path=xl/sharedStrings.xml><?xml version="1.0" encoding="utf-8"?>
<sst xmlns="http://schemas.openxmlformats.org/spreadsheetml/2006/main" count="839" uniqueCount="255">
  <si>
    <r>
      <rPr>
        <b/>
        <sz val="20"/>
        <color rgb="FFFFFFFF"/>
        <rFont val="Calibri"/>
        <family val="2"/>
      </rPr>
      <t xml:space="preserve">Calcolatore </t>
    </r>
    <r>
      <rPr>
        <b/>
        <sz val="20"/>
        <color rgb="FFFFFF00"/>
        <rFont val="Calibri"/>
        <family val="2"/>
      </rPr>
      <t>PUNTA</t>
    </r>
    <r>
      <rPr>
        <b/>
        <sz val="20"/>
        <color rgb="FFFFFFFF"/>
        <rFont val="Calibri"/>
        <family val="2"/>
      </rPr>
      <t xml:space="preserve"> &amp; </t>
    </r>
    <r>
      <rPr>
        <b/>
        <sz val="20"/>
        <color rgb="FFFFC000"/>
        <rFont val="Calibri"/>
        <family val="2"/>
      </rPr>
      <t>BANCA</t>
    </r>
    <r>
      <rPr>
        <b/>
        <sz val="20"/>
        <color rgb="FFFFFFFF"/>
        <rFont val="Calibri"/>
        <family val="2"/>
      </rPr>
      <t xml:space="preserve"> per la</t>
    </r>
    <r>
      <rPr>
        <b/>
        <sz val="20"/>
        <color rgb="FFFF0000"/>
        <rFont val="Calibri"/>
        <family val="2"/>
      </rPr>
      <t xml:space="preserve"> </t>
    </r>
    <r>
      <rPr>
        <b/>
        <sz val="20"/>
        <color rgb="FFFFFFFF"/>
        <rFont val="Calibri"/>
        <family val="2"/>
      </rPr>
      <t>Maggiorazione SBILANCIATA</t>
    </r>
  </si>
  <si>
    <t>BOOKMAKERS</t>
  </si>
  <si>
    <t xml:space="preserve">               EXCHANGE</t>
  </si>
  <si>
    <t>Sbilanciato</t>
  </si>
  <si>
    <t>Quota Reale del Book</t>
  </si>
  <si>
    <t>Quota Betfair/Betflag</t>
  </si>
  <si>
    <t>Quota Maggiorata del Book</t>
  </si>
  <si>
    <t>Profitto Richiesto a Betfair</t>
  </si>
  <si>
    <t>PUNTATA ORA AUTOMATICA</t>
  </si>
  <si>
    <t>Importo di Puntata su Book con Maggiorata</t>
  </si>
  <si>
    <t>Profitto Betfair (al netto di Commissioni)</t>
  </si>
  <si>
    <t>Profitto Lordo Book con Quota Maggiorata</t>
  </si>
  <si>
    <t>Responsabilità Betfair/Betflag</t>
  </si>
  <si>
    <t>Profitto Book con Quota Reale</t>
  </si>
  <si>
    <t>Porzione di Funbonus/Freebet</t>
  </si>
  <si>
    <t>Profitto Book/Cuscinetto x rigioco Bonus</t>
  </si>
  <si>
    <t>Commissione Exchange</t>
  </si>
  <si>
    <t>Profitto Netto Betfair</t>
  </si>
  <si>
    <t xml:space="preserve">Recupero da richiedere &lt; 50% </t>
  </si>
  <si>
    <t>MAX FUN BONUS OTTENIBILE:</t>
  </si>
  <si>
    <t>QUI IMPORTO MASSIMO FUN EROGABILE</t>
  </si>
  <si>
    <t xml:space="preserve">Margine di rinuncia sul Funbonus in vista del CAP/Limite di Real </t>
  </si>
  <si>
    <r>
      <rPr>
        <b/>
        <sz val="20"/>
        <color rgb="FFFFFFFF"/>
        <rFont val="Aptos Narrow"/>
        <family val="2"/>
        <scheme val="minor"/>
      </rPr>
      <t xml:space="preserve">1° Calcolatore per Sbloccare FunBonus in </t>
    </r>
    <r>
      <rPr>
        <b/>
        <sz val="20"/>
        <color rgb="FFFFC000"/>
        <rFont val="Aptos Narrow"/>
        <family val="2"/>
        <scheme val="minor"/>
      </rPr>
      <t>2° operazioni</t>
    </r>
    <r>
      <rPr>
        <b/>
        <sz val="20"/>
        <color rgb="FFFFFFFF"/>
        <rFont val="Aptos Narrow"/>
        <family val="2"/>
        <scheme val="minor"/>
      </rPr>
      <t xml:space="preserve"> e </t>
    </r>
    <r>
      <rPr>
        <b/>
        <sz val="20"/>
        <color rgb="FFFFC000"/>
        <rFont val="Aptos Narrow"/>
        <family val="2"/>
        <scheme val="minor"/>
      </rPr>
      <t>match diversi</t>
    </r>
  </si>
  <si>
    <t>Profitto Potenziale Book MASSIMO</t>
  </si>
  <si>
    <t>perchè il tuo riferimento è il CAP di 150€</t>
  </si>
  <si>
    <t>Profitto Netto Book</t>
  </si>
  <si>
    <t>Margine del  CAP proposto dal giocatore</t>
  </si>
  <si>
    <t>Margine del  CAP effettivo messo in gioco:</t>
  </si>
  <si>
    <t>Risultato della scommessa sul Bookmaker:</t>
  </si>
  <si>
    <t>LOSE</t>
  </si>
  <si>
    <t>Attenzione: il ns consiglio è scegliere il segno 2 con un Rating Minimo del 75%</t>
  </si>
  <si>
    <t>IL CAP(conversione) PER OGNI BONUS DI 30€ è DI 150€</t>
  </si>
  <si>
    <t>BILANCIO FINALE DOPO IL RIGIOCO DEL 1° BONUS</t>
  </si>
  <si>
    <t>sulla  MAGGIORATA HAI VINTO sul book al netto</t>
  </si>
  <si>
    <t>ED HAI PERSO SU BETFAIR</t>
  </si>
  <si>
    <t>Eventuale Profitto book dopo rigioco prima parte del fun bonus</t>
  </si>
  <si>
    <t>Eventuale Profitto Exchange dopo rigioco prima parte del fun bonus</t>
  </si>
  <si>
    <t>BILANCIO FINALE dopo lo sblocco del funbonus sul book</t>
  </si>
  <si>
    <t>BILANCIO FINALE dopo lo sblocco del funbonus sul betfair</t>
  </si>
  <si>
    <t>SALDO COMPLESSIVO CASSE DOPO PRIMO RIGIOCO BONUS</t>
  </si>
  <si>
    <r>
      <rPr>
        <b/>
        <sz val="20"/>
        <color rgb="FFFFFFFF"/>
        <rFont val="Calibri"/>
        <family val="2"/>
      </rPr>
      <t xml:space="preserve">2° Calcolatore per Sbloccare FunBonus in </t>
    </r>
    <r>
      <rPr>
        <b/>
        <sz val="20"/>
        <color rgb="FFFFC000"/>
        <rFont val="Calibri"/>
        <family val="2"/>
      </rPr>
      <t xml:space="preserve">2° operazioni </t>
    </r>
    <r>
      <rPr>
        <b/>
        <sz val="20"/>
        <color rgb="FFFFFFFF"/>
        <rFont val="Calibri"/>
        <family val="2"/>
      </rPr>
      <t xml:space="preserve">e </t>
    </r>
    <r>
      <rPr>
        <b/>
        <sz val="20"/>
        <color rgb="FFFFC000"/>
        <rFont val="Calibri"/>
        <family val="2"/>
      </rPr>
      <t>match diversi</t>
    </r>
  </si>
  <si>
    <t>BILANCIO FINALE DOPO IL RIGIOCO DEL 2° BONUS</t>
  </si>
  <si>
    <t>Bilancio finale sul Book dopo rigioco DUE fun bonus</t>
  </si>
  <si>
    <t>BILANCIO FINALE dopo lo sblocco del DUE funbonus sul betfair</t>
  </si>
  <si>
    <t>Eventuale Profitto book dopo rigioco seconda  parte del fun bonus</t>
  </si>
  <si>
    <t>Eventuale Profitto Exchange dopo rigioco seconda parte del fun bonus</t>
  </si>
  <si>
    <t>SALDO COMPLESSIVO CASSE DOPO RIGIOCO DEI DUE FUN BONUS</t>
  </si>
  <si>
    <t>MULTIPLA LUNGHISSIMA DA POTER FARE</t>
  </si>
  <si>
    <t>Importo da Giocare su Singola Bolla &gt;&gt;&gt;&gt;&gt;</t>
  </si>
  <si>
    <t>VSTART</t>
  </si>
  <si>
    <t>Ora</t>
  </si>
  <si>
    <t>Match</t>
  </si>
  <si>
    <t>FISSE</t>
  </si>
  <si>
    <t>Evento 1</t>
  </si>
  <si>
    <t>Match 1</t>
  </si>
  <si>
    <t>1X2</t>
  </si>
  <si>
    <t>Evento 2</t>
  </si>
  <si>
    <t xml:space="preserve">Match 2 </t>
  </si>
  <si>
    <t>TUTTI QUESTI EVENTI NON VANNO BANCATI .....aspetti di perderla per RICEVERE il CASHBACK e gli eventi li puoi scegliere anche che giocano nello stesso orario importante che superano QUOTA 1,80 e che sia di almeno 10 EVENTI la multipla ma più lunga la fai e meglio è</t>
  </si>
  <si>
    <t>Evento 3</t>
  </si>
  <si>
    <t>Match 3</t>
  </si>
  <si>
    <t>Evento 4</t>
  </si>
  <si>
    <t>Match 4</t>
  </si>
  <si>
    <t>Evento 5</t>
  </si>
  <si>
    <t>Match 5</t>
  </si>
  <si>
    <t>Evento 6</t>
  </si>
  <si>
    <t>Match 6</t>
  </si>
  <si>
    <t>Evento 7</t>
  </si>
  <si>
    <t>Match 7</t>
  </si>
  <si>
    <t>Evento 8</t>
  </si>
  <si>
    <t>Match 8</t>
  </si>
  <si>
    <t>Evento 9</t>
  </si>
  <si>
    <t>Match 9</t>
  </si>
  <si>
    <t>Non ti serve BANCARLI sull'EXCHANGE perchè GRAZIE al CASHBACK del 150% :</t>
  </si>
  <si>
    <t>Evento 10</t>
  </si>
  <si>
    <t>Match 10</t>
  </si>
  <si>
    <t>1) recuperi il 100% dello stake</t>
  </si>
  <si>
    <t>Evento 11</t>
  </si>
  <si>
    <t>Match 11</t>
  </si>
  <si>
    <t>2) sull'altro 50% generi PROFITTO in EXCHANGE oppure vincendo la QUINTUPLA per lo sblocco del funbonus</t>
  </si>
  <si>
    <t>Evento 12</t>
  </si>
  <si>
    <t>Match 12</t>
  </si>
  <si>
    <t>ovviamente cerca di PERDERE il più possibile su VSTART perchè RICORDA ogni MULTIPLA VINTA corrisponde a 6/8 RICARICHE che DEVI PERDERE</t>
  </si>
  <si>
    <t>Quota</t>
  </si>
  <si>
    <t>Possibile VINCITA sulla SINGOLA MULTIPLA</t>
  </si>
  <si>
    <t>&gt;&gt;&gt;&gt;&gt;&gt;&gt;&gt;&gt;&gt;     50k è il MAx ma  se dovessi VINCERE questa multipla puoi andare a LOURDES</t>
  </si>
  <si>
    <t>PERDITA DA RECUPERARE</t>
  </si>
  <si>
    <t>CASHBACK CONVERTITO</t>
  </si>
  <si>
    <t xml:space="preserve">PROFITTO COMPLESSIVO </t>
  </si>
  <si>
    <t>ROI</t>
  </si>
  <si>
    <r>
      <t xml:space="preserve">Funbonus </t>
    </r>
    <r>
      <rPr>
        <b/>
        <sz val="18"/>
        <color rgb="FFFFFFFF"/>
        <rFont val="Aptos Narrow"/>
        <family val="2"/>
      </rPr>
      <t>SINGOLO</t>
    </r>
    <r>
      <rPr>
        <sz val="18"/>
        <color rgb="FF000000"/>
        <rFont val="Aptos Narrow"/>
        <family val="2"/>
      </rPr>
      <t xml:space="preserve"> da sbloccare</t>
    </r>
  </si>
  <si>
    <t>BOLLA 1</t>
  </si>
  <si>
    <t xml:space="preserve">BOLLA 2 </t>
  </si>
  <si>
    <t xml:space="preserve">BOLLA 3 </t>
  </si>
  <si>
    <t>Quota Bancata</t>
  </si>
  <si>
    <t>Commissione Exchange per singolo Step</t>
  </si>
  <si>
    <t>Vincita Desiderata LORDA</t>
  </si>
  <si>
    <t>Bancata Effettuata REALE</t>
  </si>
  <si>
    <t>Responsabilità</t>
  </si>
  <si>
    <t>Profitto Lordo in Exchange per STEP</t>
  </si>
  <si>
    <t>Profitto NETTO per STEP su Exchange</t>
  </si>
  <si>
    <t>Rinuncia sul Funbonus</t>
  </si>
  <si>
    <t>Utile finale DOPO la Copertura dello stake perso sul book</t>
  </si>
  <si>
    <t>Segno 1</t>
  </si>
  <si>
    <t>Segno X</t>
  </si>
  <si>
    <t>Segno 2</t>
  </si>
  <si>
    <t>Npoli - Roma</t>
  </si>
  <si>
    <t>NULLA</t>
  </si>
  <si>
    <r>
      <rPr>
        <b/>
        <sz val="12"/>
        <color rgb="FFFF0000"/>
        <rFont val="Aptos Narrow"/>
        <family val="2"/>
      </rPr>
      <t>&lt;&lt;&lt;&lt;&lt;</t>
    </r>
    <r>
      <rPr>
        <b/>
        <sz val="12"/>
        <color rgb="FF00B0F0"/>
        <rFont val="Aptos Narrow"/>
        <family val="2"/>
      </rPr>
      <t>QUESTO EVENTO NON VA COPERTO IN EXCHANGE PERCHE' E' COPERTO SUL PARTNER SULLE 3 MULTIPLE DIVERSE PER 1/5</t>
    </r>
  </si>
  <si>
    <t>Maggiorazione</t>
  </si>
  <si>
    <t>Quota CON CAP</t>
  </si>
  <si>
    <t>CAP Fun max</t>
  </si>
  <si>
    <t>Quota Reale Tot</t>
  </si>
  <si>
    <t>ATTENZIONE: OGNI MULTIPLA PUO' GENERARE MAX 400€</t>
  </si>
  <si>
    <t xml:space="preserve">Tot. BONUS da Giocare su 3 BOLLE </t>
  </si>
  <si>
    <t>Vincita Reale= MAX bonus Convertibile</t>
  </si>
  <si>
    <t>BONUS</t>
  </si>
  <si>
    <t>Totale Responsabilità</t>
  </si>
  <si>
    <t>Stake da Recuperare sulla multipla principale</t>
  </si>
  <si>
    <t>Vincita  NETTA  con il rigioco del FUNBONUS</t>
  </si>
  <si>
    <t>OGNI BOLLA HA LA STESSA VINCITA</t>
  </si>
  <si>
    <t>Modificare solo le caselle in color ROSA ..Tutte le altre non devi toccarle  per Nessun motivo e se durante la progressione Cambiano le quote ti basta  FARE DUE cose. 1)cambiare la QUOTA di BANCATA e 2)la % da recuperare dallo STEP ATTUALE</t>
  </si>
  <si>
    <t>VSTART  - 150% di CASHBACK GIORNALIERO  - PROSPETTIVA DI PROFITTO (perderai al 101%)</t>
  </si>
  <si>
    <t>Volume Giocato al Giorno su più multiple</t>
  </si>
  <si>
    <t>Giorni Mese</t>
  </si>
  <si>
    <t>Volume Giocato e Perso al 99,99%</t>
  </si>
  <si>
    <t>CASHBACK</t>
  </si>
  <si>
    <t>% di Profitto</t>
  </si>
  <si>
    <t>Profitto Netto</t>
  </si>
  <si>
    <t xml:space="preserve">al </t>
  </si>
  <si>
    <t>al</t>
  </si>
  <si>
    <t xml:space="preserve">il FunbonusBonus viene accreditato entro 24 ore dalla refertazione </t>
  </si>
  <si>
    <t>edita o modifica  solo le caselle in Azzurro e sui lo stake da usare per avere i 30€ di bonus FISSI</t>
  </si>
  <si>
    <t>Segno Giocato da modificare :</t>
  </si>
  <si>
    <t>Puntate OBBLIGATE da poter fare</t>
  </si>
  <si>
    <t>Exchange Usato:</t>
  </si>
  <si>
    <t>Betfair.it</t>
  </si>
  <si>
    <t>Quota Bancata Exchange</t>
  </si>
  <si>
    <t>Profitto Lordo Book con Maggiorazione Fun</t>
  </si>
  <si>
    <t xml:space="preserve"> FunBonus  che riceverai dall'operazione:</t>
  </si>
  <si>
    <t xml:space="preserve">Recupero da richiedere &lt; 75% </t>
  </si>
  <si>
    <t>ROI= ritorno sullo stake</t>
  </si>
  <si>
    <t xml:space="preserve">Margine di rinuncia sul Funbonus in vista del CAP sul rigioco del fun/Limite di Real </t>
  </si>
  <si>
    <t>Rating delle Quote che stai usando:</t>
  </si>
  <si>
    <t>Rating MINIMO Suggerito:</t>
  </si>
  <si>
    <t>Perdita Momentanea fin al rigioco del funbonus</t>
  </si>
  <si>
    <t>come tradurre una QUOTA in % percentuale di uscita secondo l'allibratore</t>
  </si>
  <si>
    <t>Una volta individuato il Match che vuoi fare verifica attraverso i portali consigliati da MYBET21 se può essere fattibile oppure NO, perché il tuo obiettivo è PERDERE sul partner analizando per adesso i movimenti di quote  su https://www.arbing.bet/</t>
  </si>
  <si>
    <t xml:space="preserve">ITER DA POTER FARE PER GESTIRE IL FUNBONUS </t>
  </si>
  <si>
    <t>Metodo A</t>
  </si>
  <si>
    <t>Metodo B</t>
  </si>
  <si>
    <t xml:space="preserve">Bonus da Sbloccare </t>
  </si>
  <si>
    <t>Profitto NETTO  su Maggiorata</t>
  </si>
  <si>
    <t>Perdita da Recuperare sulla Maggiorazione</t>
  </si>
  <si>
    <t xml:space="preserve">Se VINCI sul book il profitto REALE è di: </t>
  </si>
  <si>
    <t>Bonus CONVERTITO</t>
  </si>
  <si>
    <t>Se VINCI in EXCHANGE (TUO OBIETTIVO) il Profitto è:</t>
  </si>
  <si>
    <t>dal</t>
  </si>
  <si>
    <t>Parametri da rispettare per lo sblocco</t>
  </si>
  <si>
    <t>1) Coefficiente MULTIPLA = 12</t>
  </si>
  <si>
    <t>es. 1= tripla con quota 4,00, quota 1,8 e quota 1,7</t>
  </si>
  <si>
    <t>2) minimo con una TRIPLA</t>
  </si>
  <si>
    <t>es 2 = quintupla a quota 1,65 per evento</t>
  </si>
  <si>
    <t>3) Quota MINIMA a 1,45 per EVENTO</t>
  </si>
  <si>
    <t>es. 3 = tripla con quota 2, quota 2 e quota 3..............eccccc</t>
  </si>
  <si>
    <t xml:space="preserve">4) Mercato 1, 2, Under ed Over </t>
  </si>
  <si>
    <t>es. 4 = tripla con quota 9, quota 1,15 e quota 1,16..............eccccc</t>
  </si>
  <si>
    <t>Utile finale DOPO la Copertura della PERDITA sulla Maggiorata su BF</t>
  </si>
  <si>
    <t>Vincita Reale</t>
  </si>
  <si>
    <t>coefficiente Multipla</t>
  </si>
  <si>
    <t>PERDITA da Recuperare SULLA MAGGIORATA</t>
  </si>
  <si>
    <t xml:space="preserve">il Metodo sotto è una procedura che va fatta MINIMO con 4 eventi permettendoti di CONSUMARE SUBITO IL FUNBONUS con una MINOR ESPOSIZIONE visto che andrai a bancare un evento in meno dato che il 1° è già coperto e che può essere in simultanea con il 2° </t>
  </si>
  <si>
    <t xml:space="preserve">Funbonus divisibile in TRE </t>
  </si>
  <si>
    <t>Bancata Effettuata se cambiano quelle successive</t>
  </si>
  <si>
    <t>QUESTO EVENTO NON VA COPERTO IN EXCHANGE PERCHE' E' COPERTO SUL PARTNER FACENDO 3 MULTIPLE UGUALI TRANNE IL 1° MATCH</t>
  </si>
  <si>
    <t>inserisci almeno 3 eventi che totalizzano quota 12 ma se la fai più lunga è meglio per la partnership</t>
  </si>
  <si>
    <t>PROSPETTIVA DI PROFITTO MENSILE ROBYBET</t>
  </si>
  <si>
    <t>Volume Giocato  al giorno su MAGGIORATE in Autonomia</t>
  </si>
  <si>
    <t xml:space="preserve">Volume Giocato </t>
  </si>
  <si>
    <t>% di Profitto Medio per Ogni Maggiorata</t>
  </si>
  <si>
    <t>il FunbonusBonus viene accreditato entro 72 ore dalla refertazione della Maggiorata (probabile entro 24 ore visto che sono in manuale)</t>
  </si>
  <si>
    <r>
      <rPr>
        <b/>
        <i/>
        <sz val="16"/>
        <color rgb="FF00B0F0"/>
        <rFont val="Aptos Narrow"/>
        <scheme val="minor"/>
      </rPr>
      <t>edita o modifica  solo le caselle in Azzurro e SCEGLI lo stake OBBLIGATO per avere i 50€ di bonus FISSI</t>
    </r>
    <r>
      <rPr>
        <b/>
        <i/>
        <sz val="16"/>
        <color rgb="FFFFC000"/>
        <rFont val="Aptos Narrow"/>
        <scheme val="minor"/>
      </rPr>
      <t xml:space="preserve"> (più bassa è la quota e più sale lo stake)</t>
    </r>
  </si>
  <si>
    <t>Quota   &gt;&gt;&gt;</t>
  </si>
  <si>
    <t>inserisci in QUINTUPLA eventi con quota MINIMA 1,65 distante 2 ore l'una dall'altra</t>
  </si>
  <si>
    <t xml:space="preserve">il Metodo sotto è una procedura NON VALIDATA dal BOOK ma potrebbe essere tentata nel 30% dei casi quindi NON sempre per evitare il blocco perchè può essere vista come un'operatività sistemistica che è VIETATA ...essa permette di CONSUMARE SUBITO IL FUNBONUS con una MINOR ESPOSIZIONE visto che andrai a bancare un evento in meno dato che il 1° è già coperto e che può essere in simultanea con il 2° </t>
  </si>
  <si>
    <t>REBET 24 - PROSPETTIVA DI PROFITTO MENSILE (siamo in start up)</t>
  </si>
  <si>
    <t>Volume Giocato medio nel WEEKEND sulle 3 MAGGIORATE</t>
  </si>
  <si>
    <r>
      <rPr>
        <sz val="16"/>
        <color rgb="FF000000"/>
        <rFont val="Calibri"/>
      </rPr>
      <t>il</t>
    </r>
    <r>
      <rPr>
        <b/>
        <sz val="16"/>
        <color rgb="FF00B0F0"/>
        <rFont val="Calibri"/>
      </rPr>
      <t xml:space="preserve"> real Bonus viene accreditato entro 24 ore</t>
    </r>
    <r>
      <rPr>
        <b/>
        <sz val="16"/>
        <color rgb="FFFF0000"/>
        <rFont val="Calibri"/>
      </rPr>
      <t xml:space="preserve"> </t>
    </r>
    <r>
      <rPr>
        <sz val="16"/>
        <color rgb="FF000000"/>
        <rFont val="Calibri"/>
      </rPr>
      <t xml:space="preserve">dalla refertazione della Maggiorata e la vincita è subito PRELEVABILE </t>
    </r>
  </si>
  <si>
    <t>Concatena</t>
  </si>
  <si>
    <t>Pos</t>
  </si>
  <si>
    <t>da</t>
  </si>
  <si>
    <t>a</t>
  </si>
  <si>
    <t>stake</t>
  </si>
  <si>
    <t>1x2 bonus</t>
  </si>
  <si>
    <t>Rating Min</t>
  </si>
  <si>
    <t>Differenziale Punta e Banca</t>
  </si>
  <si>
    <t>Mercato</t>
  </si>
  <si>
    <t>Gruppo</t>
  </si>
  <si>
    <t>Exchange</t>
  </si>
  <si>
    <t>Commissione</t>
  </si>
  <si>
    <t>ROI Max</t>
  </si>
  <si>
    <t>Puntate Ammesse</t>
  </si>
  <si>
    <t>Posizione</t>
  </si>
  <si>
    <t>Val Pun</t>
  </si>
  <si>
    <t>pos</t>
  </si>
  <si>
    <t>Posizione Quota</t>
  </si>
  <si>
    <t>Negativo se Win Book da recuperare</t>
  </si>
  <si>
    <t>37 Punti</t>
  </si>
  <si>
    <t>Segno Giocato</t>
  </si>
  <si>
    <t>punta</t>
  </si>
  <si>
    <t>qpunta</t>
  </si>
  <si>
    <t>Prof Netto</t>
  </si>
  <si>
    <t>Prof Book Magg</t>
  </si>
  <si>
    <t>qbanca</t>
  </si>
  <si>
    <t>Bonus</t>
  </si>
  <si>
    <t>Recupero</t>
  </si>
  <si>
    <t>Margine rin</t>
  </si>
  <si>
    <t>Bancata</t>
  </si>
  <si>
    <t>Respons</t>
  </si>
  <si>
    <t>Prf Netto</t>
  </si>
  <si>
    <t>X</t>
  </si>
  <si>
    <t>Betflag.it</t>
  </si>
  <si>
    <t>Stake:</t>
  </si>
  <si>
    <t>Quota Book:</t>
  </si>
  <si>
    <t>Under 0.5</t>
  </si>
  <si>
    <t>Concatena:</t>
  </si>
  <si>
    <t>Under 1.5</t>
  </si>
  <si>
    <t>Under 2.5</t>
  </si>
  <si>
    <t>Rating 1x2 MIN:</t>
  </si>
  <si>
    <t>U0,5-1,5-2,5 bonus</t>
  </si>
  <si>
    <t>bonus</t>
  </si>
  <si>
    <t>Rating Under Min:</t>
  </si>
  <si>
    <t>40 Punti</t>
  </si>
  <si>
    <t>last pos</t>
  </si>
  <si>
    <t>Gruppo Segno:</t>
  </si>
  <si>
    <t>Valore Bonus:</t>
  </si>
  <si>
    <t>Stake Minimo:</t>
  </si>
  <si>
    <t>Stake Massimo:</t>
  </si>
  <si>
    <t>75 Punti</t>
  </si>
  <si>
    <t>150 Punti</t>
  </si>
  <si>
    <t>180 Punti</t>
  </si>
  <si>
    <t>Stake Min 1X2</t>
  </si>
  <si>
    <t>Stake Max 1X2</t>
  </si>
  <si>
    <t>%di profitto da  -   a</t>
  </si>
  <si>
    <t>Stake Min Under</t>
  </si>
  <si>
    <t>Stake Max Under</t>
  </si>
  <si>
    <t>80 Punti</t>
  </si>
  <si>
    <t>120 Punti</t>
  </si>
  <si>
    <t>200 Punti</t>
  </si>
  <si>
    <t>220 Punti</t>
  </si>
  <si>
    <t>350Punti</t>
  </si>
  <si>
    <t>540 Punti</t>
  </si>
  <si>
    <t>ì</t>
  </si>
  <si>
    <t xml:space="preserve">135 punti </t>
  </si>
  <si>
    <t xml:space="preserve">350 Punti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</si>
</sst>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\ &quot;€&quot;;[Red]\-#,##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_-* #,##0.00\ [$€-410]_-;\-* #,##0.00\ [$€-410]_-;_-* &quot;-&quot;??\ [$€-410]_-;_-@_-"/>
    <numFmt numFmtId="168" formatCode="#,##0_ ;\-#,##0\ "/>
    <numFmt numFmtId="169" formatCode="0.000"/>
  </numFmts>
  <fonts count="16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0"/>
      <name val="Calibri"/>
      <family val="2"/>
    </font>
    <font>
      <b/>
      <sz val="20"/>
      <color rgb="FFFFFFFF"/>
      <name val="Calibri"/>
      <family val="2"/>
    </font>
    <font>
      <b/>
      <sz val="20"/>
      <color rgb="FFFFFF00"/>
      <name val="Calibri"/>
      <family val="2"/>
    </font>
    <font>
      <b/>
      <sz val="20"/>
      <color rgb="FFFFC000"/>
      <name val="Calibri"/>
      <family val="2"/>
    </font>
    <font>
      <b/>
      <sz val="20"/>
      <color rgb="FFFF0000"/>
      <name val="Calibri"/>
      <family val="2"/>
    </font>
    <font>
      <b/>
      <sz val="20"/>
      <color theme="8" tint="0.3999755851924192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rgb="FFFFC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2"/>
      <color rgb="FFFFC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00B0F0"/>
      <name val="Aptos Narrow"/>
      <family val="2"/>
      <scheme val="minor"/>
    </font>
    <font>
      <b/>
      <sz val="14"/>
      <color theme="4"/>
      <name val="Aptos Narrow"/>
      <family val="2"/>
      <scheme val="minor"/>
    </font>
    <font>
      <b/>
      <sz val="14"/>
      <color rgb="FFF584EA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C00000"/>
      <name val="Aptos Narrow"/>
      <family val="2"/>
      <scheme val="minor"/>
    </font>
    <font>
      <b/>
      <sz val="14"/>
      <color rgb="FFFFC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color rgb="FF92D050"/>
      <name val="Aptos Narrow"/>
      <family val="2"/>
      <scheme val="minor"/>
    </font>
    <font>
      <b/>
      <sz val="14"/>
      <color rgb="FF00B050"/>
      <name val="Aptos Narrow"/>
      <family val="2"/>
      <scheme val="minor"/>
    </font>
    <font>
      <sz val="9"/>
      <color rgb="FF000000"/>
      <name val="Calibri"/>
      <family val="2"/>
    </font>
    <font>
      <sz val="12"/>
      <color theme="1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20"/>
      <color rgb="FFFFFFFF"/>
      <name val="Aptos Narrow"/>
      <family val="2"/>
      <scheme val="minor"/>
    </font>
    <font>
      <b/>
      <sz val="24"/>
      <color theme="8" tint="0.39997558519241921"/>
      <name val="Aptos Narrow"/>
      <family val="2"/>
      <scheme val="minor"/>
    </font>
    <font>
      <b/>
      <sz val="24"/>
      <color rgb="FFFFC000"/>
      <name val="Aptos Narrow"/>
      <family val="2"/>
      <scheme val="minor"/>
    </font>
    <font>
      <b/>
      <sz val="12"/>
      <color theme="6"/>
      <name val="Aptos Narrow"/>
      <family val="2"/>
      <scheme val="minor"/>
    </font>
    <font>
      <sz val="11"/>
      <color rgb="FF006CBE"/>
      <name val="Consolas"/>
      <family val="3"/>
    </font>
    <font>
      <b/>
      <sz val="14"/>
      <color rgb="FF291138"/>
      <name val="Aptos Narrow"/>
      <family val="2"/>
      <scheme val="minor"/>
    </font>
    <font>
      <sz val="11"/>
      <color rgb="FF000000"/>
      <name val="Calibri"/>
      <family val="2"/>
    </font>
    <font>
      <b/>
      <i/>
      <sz val="14"/>
      <color rgb="FFFF0000"/>
      <name val="Calibri"/>
      <family val="2"/>
    </font>
    <font>
      <b/>
      <sz val="16"/>
      <color theme="0"/>
      <name val="Aptos Display"/>
      <family val="2"/>
      <scheme val="major"/>
    </font>
    <font>
      <b/>
      <i/>
      <sz val="18"/>
      <color rgb="FF00B0F0"/>
      <name val="Aptos Display"/>
      <family val="2"/>
      <scheme val="major"/>
    </font>
    <font>
      <sz val="12"/>
      <color rgb="FF0070C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3"/>
      <color rgb="FF0070C0"/>
      <name val="Aptos Narrow"/>
      <family val="2"/>
      <scheme val="minor"/>
    </font>
    <font>
      <b/>
      <sz val="16"/>
      <color rgb="FF0070C0"/>
      <name val="Aptos Narrow"/>
      <family val="2"/>
      <scheme val="minor"/>
    </font>
    <font>
      <b/>
      <sz val="13"/>
      <color theme="5" tint="0.39997558519241921"/>
      <name val="Aptos Narrow"/>
      <family val="2"/>
      <scheme val="minor"/>
    </font>
    <font>
      <b/>
      <sz val="16"/>
      <color rgb="FF3F3F3F"/>
      <name val="Aptos Narrow"/>
      <family val="2"/>
      <scheme val="minor"/>
    </font>
    <font>
      <u/>
      <sz val="11"/>
      <color rgb="FF3F3F76"/>
      <name val="Aptos Narrow"/>
      <family val="2"/>
      <scheme val="minor"/>
    </font>
    <font>
      <b/>
      <sz val="14"/>
      <color theme="8"/>
      <name val="Aptos Narrow"/>
      <family val="2"/>
      <scheme val="minor"/>
    </font>
    <font>
      <b/>
      <i/>
      <sz val="8"/>
      <color theme="6"/>
      <name val="Aptos Display"/>
      <family val="2"/>
      <scheme val="major"/>
    </font>
    <font>
      <b/>
      <i/>
      <sz val="10"/>
      <color theme="6"/>
      <name val="Calibri"/>
      <family val="2"/>
    </font>
    <font>
      <b/>
      <u/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0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10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6"/>
      <color rgb="FFFFC000"/>
      <name val="Aptos Narrow"/>
      <family val="2"/>
      <scheme val="minor"/>
    </font>
    <font>
      <b/>
      <sz val="16"/>
      <color rgb="FF002060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6"/>
      <color rgb="FF00B0F0"/>
      <name val="Aptos Narrow"/>
      <family val="2"/>
      <scheme val="minor"/>
    </font>
    <font>
      <b/>
      <u/>
      <sz val="10"/>
      <color rgb="FF3F3F76"/>
      <name val="Aptos Narrow"/>
      <family val="2"/>
      <scheme val="minor"/>
    </font>
    <font>
      <b/>
      <u/>
      <sz val="9"/>
      <color rgb="FFFF000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b/>
      <sz val="10"/>
      <color theme="6" tint="-0.249977111117893"/>
      <name val="Aptos Narrow"/>
      <family val="2"/>
      <scheme val="minor"/>
    </font>
    <font>
      <b/>
      <sz val="14"/>
      <color theme="3" tint="0.74999237037263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0"/>
      <color rgb="FF92D050"/>
      <name val="Aptos Narrow"/>
      <family val="2"/>
      <scheme val="minor"/>
    </font>
    <font>
      <b/>
      <sz val="11"/>
      <color theme="5" tint="-0.249977111117893"/>
      <name val="Calibri"/>
      <family val="2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8"/>
      <color rgb="FF000000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1"/>
      <color rgb="FF548235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8"/>
      <color rgb="FF000000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sz val="14"/>
      <color rgb="FF444444"/>
      <name val="Calibri"/>
      <family val="2"/>
    </font>
    <font>
      <b/>
      <sz val="16"/>
      <color rgb="FF92D05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b/>
      <sz val="16"/>
      <color rgb="FFFF0000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6"/>
      <color rgb="FF000000"/>
      <name val="Calibri"/>
      <family val="2"/>
    </font>
    <font>
      <sz val="12"/>
      <color rgb="FF000000"/>
      <name val="Aptos Narrow"/>
      <family val="2"/>
      <scheme val="minor"/>
    </font>
    <font>
      <b/>
      <sz val="20"/>
      <color rgb="FF00B0F0"/>
      <name val="Aptos Narrow"/>
      <family val="2"/>
      <scheme val="minor"/>
    </font>
    <font>
      <sz val="16"/>
      <color rgb="FF000000"/>
      <name val="Calibri"/>
      <family val="2"/>
    </font>
    <font>
      <b/>
      <sz val="16"/>
      <color rgb="FF00B050"/>
      <name val="Aptos Narrow"/>
      <family val="2"/>
      <scheme val="minor"/>
    </font>
    <font>
      <b/>
      <sz val="12"/>
      <color rgb="FF92D050"/>
      <name val="Aptos Narrow"/>
      <family val="2"/>
      <scheme val="minor"/>
    </font>
    <font>
      <b/>
      <sz val="20"/>
      <color rgb="FF0070C0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sz val="14"/>
      <color rgb="FF000000"/>
      <name val="Aptos Narrow"/>
      <family val="2"/>
    </font>
    <font>
      <b/>
      <sz val="12"/>
      <color rgb="FF000000"/>
      <name val="Aptos Narrow"/>
      <family val="2"/>
    </font>
    <font>
      <sz val="12"/>
      <color rgb="FF000000"/>
      <name val="Aptos Narrow"/>
      <family val="2"/>
    </font>
    <font>
      <sz val="12"/>
      <color rgb="FFFF0000"/>
      <name val="Aptos Narrow"/>
      <family val="2"/>
    </font>
    <font>
      <b/>
      <sz val="12"/>
      <color rgb="FF92D050"/>
      <name val="Aptos Narrow"/>
      <family val="2"/>
    </font>
    <font>
      <b/>
      <sz val="14"/>
      <color rgb="FF000000"/>
      <name val="Aptos Narrow"/>
      <family val="2"/>
    </font>
    <font>
      <sz val="18"/>
      <color rgb="FF000000"/>
      <name val="Aptos Narrow"/>
      <family val="2"/>
    </font>
    <font>
      <sz val="16"/>
      <color rgb="FFFF0000"/>
      <name val="Aptos Narrow"/>
      <family val="2"/>
      <scheme val="minor"/>
    </font>
    <font>
      <b/>
      <sz val="16"/>
      <color theme="4"/>
      <name val="Aptos Narrow"/>
      <family val="2"/>
      <scheme val="minor"/>
    </font>
    <font>
      <b/>
      <sz val="18"/>
      <color rgb="FFFFFFFF"/>
      <name val="Aptos Narrow"/>
      <family val="2"/>
    </font>
    <font>
      <sz val="16"/>
      <color rgb="FF000000"/>
      <name val="Aptos Narrow"/>
      <family val="2"/>
      <scheme val="minor"/>
    </font>
    <font>
      <i/>
      <sz val="20"/>
      <color rgb="FF00B0F0"/>
      <name val="Aptos Narrow"/>
      <family val="2"/>
      <scheme val="minor"/>
    </font>
    <font>
      <b/>
      <sz val="18"/>
      <color rgb="FF92D050"/>
      <name val="Aptos Narrow"/>
      <family val="2"/>
    </font>
    <font>
      <sz val="14"/>
      <color rgb="FFFF0000"/>
      <name val="Aptos Narrow"/>
      <family val="2"/>
    </font>
    <font>
      <b/>
      <sz val="12"/>
      <color rgb="FFFF0000"/>
      <name val="Aptos Narrow"/>
      <family val="2"/>
    </font>
    <font>
      <b/>
      <sz val="12"/>
      <color rgb="FF00B0F0"/>
      <name val="Aptos Narrow"/>
      <family val="2"/>
    </font>
    <font>
      <b/>
      <i/>
      <sz val="16"/>
      <color theme="1"/>
      <name val="Aptos Narrow"/>
      <family val="2"/>
      <scheme val="minor"/>
    </font>
    <font>
      <b/>
      <sz val="14"/>
      <color rgb="FF92D050"/>
      <name val="Aptos Narrow"/>
      <family val="2"/>
    </font>
    <font>
      <sz val="14"/>
      <color theme="3" tint="0.249977111117893"/>
      <name val="Aptos Narrow"/>
      <family val="2"/>
      <scheme val="minor"/>
    </font>
    <font>
      <b/>
      <sz val="12"/>
      <color theme="4"/>
      <name val="Aptos Narrow"/>
      <family val="2"/>
      <scheme val="minor"/>
    </font>
    <font>
      <b/>
      <sz val="11"/>
      <color rgb="FF388600"/>
      <name val="Aptos Narrow"/>
      <family val="2"/>
      <scheme val="minor"/>
    </font>
    <font>
      <b/>
      <sz val="11"/>
      <color rgb="FF388600"/>
      <name val="Calibri"/>
      <family val="2"/>
    </font>
    <font>
      <b/>
      <sz val="16"/>
      <color theme="5" tint="-0.249977111117893"/>
      <name val="Calibri"/>
      <family val="2"/>
    </font>
    <font>
      <b/>
      <sz val="16"/>
      <color rgb="FF00B0F0"/>
      <name val="Aptos Narrow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rgb="FF0070C0"/>
      <name val="Calibri"/>
      <family val="2"/>
    </font>
    <font>
      <sz val="10"/>
      <color rgb="FF000000"/>
      <name val="Aptos Narrow"/>
      <family val="2"/>
    </font>
    <font>
      <b/>
      <sz val="10"/>
      <color rgb="FF000000"/>
      <name val="Aptos Narrow"/>
      <family val="2"/>
    </font>
    <font>
      <i/>
      <sz val="18"/>
      <color rgb="FF00B0F0"/>
      <name val="Aptos Narrow"/>
      <family val="2"/>
      <scheme val="minor"/>
    </font>
    <font>
      <b/>
      <sz val="16"/>
      <color rgb="FF000000"/>
      <name val="Aptos Narrow"/>
      <scheme val="minor"/>
    </font>
    <font>
      <b/>
      <sz val="24"/>
      <color theme="3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B0F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00B050"/>
      <name val="Aptos Narrow"/>
      <family val="2"/>
      <scheme val="minor"/>
    </font>
    <font>
      <b/>
      <sz val="14"/>
      <color rgb="FF92D050"/>
      <name val="Aptos Narrow"/>
      <family val="2"/>
      <scheme val="minor"/>
    </font>
    <font>
      <sz val="16"/>
      <color theme="1"/>
      <name val="Calibri"/>
    </font>
    <font>
      <sz val="16"/>
      <color rgb="FF000000"/>
      <name val="Calibri"/>
    </font>
    <font>
      <b/>
      <sz val="16"/>
      <color rgb="FF00B0F0"/>
      <name val="Calibri"/>
    </font>
    <font>
      <b/>
      <sz val="16"/>
      <color rgb="FFFF0000"/>
      <name val="Calibri"/>
    </font>
    <font>
      <sz val="16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b/>
      <sz val="14"/>
      <color rgb="FF388600"/>
      <name val="Aptos Narrow"/>
      <family val="2"/>
      <scheme val="minor"/>
    </font>
    <font>
      <b/>
      <sz val="14"/>
      <color theme="9" tint="0.39997558519241921"/>
      <name val="Aptos Narrow"/>
      <family val="2"/>
      <scheme val="minor"/>
    </font>
    <font>
      <b/>
      <sz val="14"/>
      <color rgb="FF388600"/>
      <name val="Calibri"/>
      <family val="2"/>
    </font>
    <font>
      <b/>
      <sz val="12"/>
      <color theme="6" tint="-0.249977111117893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18"/>
      <color rgb="FF00B0F0"/>
      <name val="Aptos Narrow"/>
      <family val="2"/>
      <scheme val="minor"/>
    </font>
    <font>
      <sz val="18"/>
      <color rgb="FF00B0F0"/>
      <name val="Aptos Narrow"/>
      <family val="2"/>
      <scheme val="minor"/>
    </font>
    <font>
      <b/>
      <sz val="18"/>
      <color rgb="FF0070C0"/>
      <name val="Aptos Narrow"/>
      <family val="2"/>
      <scheme val="minor"/>
    </font>
    <font>
      <b/>
      <sz val="16"/>
      <color theme="3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6"/>
      <color rgb="FF00B0F0"/>
      <name val="Aptos Narrow"/>
      <scheme val="minor"/>
    </font>
    <font>
      <b/>
      <i/>
      <sz val="16"/>
      <color rgb="FFFFC000"/>
      <name val="Aptos Narrow"/>
      <scheme val="minor"/>
    </font>
    <font>
      <sz val="16"/>
      <color rgb="FF00B0F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8"/>
      <color theme="3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0" fontId="2" fillId="2" borderId="1" applyNumberFormat="0" applyAlignment="0" applyProtection="0"/>
    <xf numFmtId="9" fontId="1" fillId="0" borderId="0" applyFont="0" applyFill="0" applyBorder="0" applyAlignment="0" applyProtection="0"/>
    <xf numFmtId="0" fontId="50" fillId="3" borderId="2" applyNumberFormat="0" applyAlignment="0" applyProtection="0"/>
    <xf numFmtId="0" fontId="51" fillId="9" borderId="3" applyNumberFormat="0" applyAlignment="0" applyProtection="0"/>
    <xf numFmtId="0" fontId="56" fillId="10" borderId="0" applyNumberFormat="0" applyBorder="0" applyAlignment="0" applyProtection="0"/>
    <xf numFmtId="0" fontId="1" fillId="11" borderId="0" applyNumberFormat="0" applyBorder="0" applyAlignment="0" applyProtection="0"/>
    <xf numFmtId="43" fontId="1" fillId="0" borderId="0" applyFont="0" applyFill="0" applyBorder="0" applyAlignment="0" applyProtection="0"/>
    <xf numFmtId="0" fontId="69" fillId="3" borderId="1" applyNumberFormat="0" applyAlignment="0" applyProtection="0"/>
  </cellStyleXfs>
  <cellXfs count="713">
    <xf numFmtId="0" fontId="0" fillId="0" borderId="0" xfId="0"/>
    <xf numFmtId="0" fontId="0" fillId="4" borderId="0" xfId="0" applyFill="1"/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right" vertical="center"/>
    </xf>
    <xf numFmtId="2" fontId="15" fillId="4" borderId="0" xfId="0" applyNumberFormat="1" applyFont="1" applyFill="1"/>
    <xf numFmtId="0" fontId="14" fillId="4" borderId="0" xfId="0" applyFont="1" applyFill="1" applyAlignment="1">
      <alignment horizontal="right"/>
    </xf>
    <xf numFmtId="2" fontId="15" fillId="4" borderId="0" xfId="0" applyNumberFormat="1" applyFont="1" applyFill="1" applyAlignment="1">
      <alignment horizontal="center"/>
    </xf>
    <xf numFmtId="2" fontId="16" fillId="4" borderId="0" xfId="0" applyNumberFormat="1" applyFont="1" applyFill="1" applyAlignment="1">
      <alignment horizontal="center"/>
    </xf>
    <xf numFmtId="2" fontId="17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right"/>
    </xf>
    <xf numFmtId="2" fontId="14" fillId="4" borderId="0" xfId="0" applyNumberFormat="1" applyFont="1" applyFill="1" applyAlignment="1">
      <alignment horizontal="center"/>
    </xf>
    <xf numFmtId="2" fontId="14" fillId="0" borderId="0" xfId="0" applyNumberFormat="1" applyFont="1" applyAlignment="1">
      <alignment horizontal="center"/>
    </xf>
    <xf numFmtId="43" fontId="14" fillId="4" borderId="0" xfId="0" applyNumberFormat="1" applyFont="1" applyFill="1" applyAlignment="1">
      <alignment horizontal="right"/>
    </xf>
    <xf numFmtId="0" fontId="18" fillId="4" borderId="0" xfId="0" applyFont="1" applyFill="1" applyAlignment="1">
      <alignment horizontal="right"/>
    </xf>
    <xf numFmtId="2" fontId="19" fillId="4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right" vertical="center"/>
    </xf>
    <xf numFmtId="43" fontId="18" fillId="4" borderId="0" xfId="0" applyNumberFormat="1" applyFont="1" applyFill="1" applyAlignment="1">
      <alignment horizontal="right"/>
    </xf>
    <xf numFmtId="167" fontId="20" fillId="4" borderId="0" xfId="0" applyNumberFormat="1" applyFont="1" applyFill="1" applyAlignment="1">
      <alignment horizontal="right"/>
    </xf>
    <xf numFmtId="0" fontId="21" fillId="4" borderId="0" xfId="0" applyFont="1" applyFill="1" applyAlignment="1">
      <alignment horizontal="right"/>
    </xf>
    <xf numFmtId="2" fontId="20" fillId="4" borderId="0" xfId="0" applyNumberFormat="1" applyFont="1" applyFill="1" applyAlignment="1">
      <alignment horizontal="center"/>
    </xf>
    <xf numFmtId="2" fontId="22" fillId="4" borderId="0" xfId="0" applyNumberFormat="1" applyFont="1" applyFill="1" applyAlignment="1">
      <alignment horizontal="center"/>
    </xf>
    <xf numFmtId="10" fontId="14" fillId="4" borderId="0" xfId="0" applyNumberFormat="1" applyFont="1" applyFill="1"/>
    <xf numFmtId="2" fontId="23" fillId="4" borderId="0" xfId="0" applyNumberFormat="1" applyFont="1" applyFill="1" applyAlignment="1">
      <alignment horizontal="center"/>
    </xf>
    <xf numFmtId="2" fontId="24" fillId="4" borderId="0" xfId="0" applyNumberFormat="1" applyFont="1" applyFill="1" applyAlignment="1">
      <alignment horizontal="center"/>
    </xf>
    <xf numFmtId="0" fontId="14" fillId="0" borderId="0" xfId="0" applyFont="1" applyAlignment="1">
      <alignment horizontal="right"/>
    </xf>
    <xf numFmtId="10" fontId="15" fillId="4" borderId="0" xfId="0" applyNumberFormat="1" applyFont="1" applyFill="1"/>
    <xf numFmtId="0" fontId="0" fillId="4" borderId="0" xfId="0" applyFill="1" applyAlignment="1">
      <alignment horizontal="center" vertical="center"/>
    </xf>
    <xf numFmtId="0" fontId="25" fillId="4" borderId="0" xfId="0" applyFont="1" applyFill="1" applyAlignment="1">
      <alignment horizontal="right"/>
    </xf>
    <xf numFmtId="0" fontId="0" fillId="4" borderId="0" xfId="0" applyFill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9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/>
    </xf>
    <xf numFmtId="2" fontId="31" fillId="4" borderId="0" xfId="0" applyNumberFormat="1" applyFont="1" applyFill="1" applyAlignment="1">
      <alignment horizontal="center" vertical="center"/>
    </xf>
    <xf numFmtId="0" fontId="3" fillId="0" borderId="0" xfId="0" applyFont="1"/>
    <xf numFmtId="0" fontId="3" fillId="4" borderId="0" xfId="0" applyFont="1" applyFill="1"/>
    <xf numFmtId="16" fontId="3" fillId="4" borderId="0" xfId="0" applyNumberFormat="1" applyFont="1" applyFill="1"/>
    <xf numFmtId="20" fontId="3" fillId="4" borderId="0" xfId="0" applyNumberFormat="1" applyFont="1" applyFill="1"/>
    <xf numFmtId="2" fontId="17" fillId="4" borderId="0" xfId="0" applyNumberFormat="1" applyFont="1" applyFill="1"/>
    <xf numFmtId="0" fontId="32" fillId="0" borderId="0" xfId="0" applyFont="1"/>
    <xf numFmtId="2" fontId="18" fillId="4" borderId="0" xfId="0" applyNumberFormat="1" applyFont="1" applyFill="1"/>
    <xf numFmtId="0" fontId="0" fillId="0" borderId="0" xfId="0" applyAlignment="1">
      <alignment horizontal="right"/>
    </xf>
    <xf numFmtId="2" fontId="14" fillId="0" borderId="0" xfId="0" applyNumberFormat="1" applyFont="1"/>
    <xf numFmtId="2" fontId="33" fillId="4" borderId="0" xfId="0" applyNumberFormat="1" applyFont="1" applyFill="1"/>
    <xf numFmtId="2" fontId="14" fillId="4" borderId="0" xfId="0" applyNumberFormat="1" applyFont="1" applyFill="1"/>
    <xf numFmtId="0" fontId="14" fillId="4" borderId="0" xfId="0" applyFont="1" applyFill="1"/>
    <xf numFmtId="2" fontId="22" fillId="4" borderId="0" xfId="0" applyNumberFormat="1" applyFont="1" applyFill="1"/>
    <xf numFmtId="0" fontId="34" fillId="4" borderId="0" xfId="0" applyFont="1" applyFill="1" applyAlignment="1">
      <alignment horizontal="right"/>
    </xf>
    <xf numFmtId="166" fontId="15" fillId="6" borderId="0" xfId="1" applyFont="1" applyFill="1"/>
    <xf numFmtId="2" fontId="24" fillId="4" borderId="0" xfId="0" applyNumberFormat="1" applyFont="1" applyFill="1"/>
    <xf numFmtId="2" fontId="24" fillId="6" borderId="0" xfId="0" applyNumberFormat="1" applyFont="1" applyFill="1" applyAlignment="1">
      <alignment horizontal="center"/>
    </xf>
    <xf numFmtId="0" fontId="38" fillId="4" borderId="0" xfId="0" applyFont="1" applyFill="1" applyAlignment="1">
      <alignment horizontal="left" vertical="center"/>
    </xf>
    <xf numFmtId="2" fontId="39" fillId="4" borderId="0" xfId="0" applyNumberFormat="1" applyFont="1" applyFill="1" applyAlignment="1">
      <alignment horizontal="right" vertical="center"/>
    </xf>
    <xf numFmtId="0" fontId="39" fillId="4" borderId="0" xfId="0" applyFont="1" applyFill="1" applyAlignment="1">
      <alignment horizontal="left" vertical="center"/>
    </xf>
    <xf numFmtId="167" fontId="39" fillId="4" borderId="0" xfId="0" applyNumberFormat="1" applyFont="1" applyFill="1" applyAlignment="1">
      <alignment horizontal="left" vertical="center"/>
    </xf>
    <xf numFmtId="0" fontId="40" fillId="4" borderId="0" xfId="0" applyFont="1" applyFill="1" applyAlignment="1">
      <alignment horizontal="left" vertical="center"/>
    </xf>
    <xf numFmtId="0" fontId="41" fillId="4" borderId="0" xfId="0" applyFont="1" applyFill="1" applyAlignment="1">
      <alignment horizontal="left" vertical="center"/>
    </xf>
    <xf numFmtId="43" fontId="42" fillId="8" borderId="0" xfId="0" applyNumberFormat="1" applyFont="1" applyFill="1" applyAlignment="1">
      <alignment vertical="center"/>
    </xf>
    <xf numFmtId="43" fontId="42" fillId="8" borderId="0" xfId="0" applyNumberFormat="1" applyFont="1" applyFill="1" applyAlignment="1">
      <alignment horizontal="left" vertical="center"/>
    </xf>
    <xf numFmtId="166" fontId="44" fillId="3" borderId="2" xfId="1" applyFont="1" applyFill="1" applyBorder="1" applyAlignment="1">
      <alignment horizontal="left" vertical="center"/>
    </xf>
    <xf numFmtId="14" fontId="0" fillId="4" borderId="0" xfId="0" applyNumberFormat="1" applyFill="1"/>
    <xf numFmtId="20" fontId="0" fillId="4" borderId="0" xfId="0" applyNumberFormat="1" applyFill="1"/>
    <xf numFmtId="2" fontId="45" fillId="2" borderId="1" xfId="2" applyNumberFormat="1" applyFont="1" applyAlignment="1">
      <alignment horizontal="center" vertical="center"/>
    </xf>
    <xf numFmtId="167" fontId="46" fillId="6" borderId="0" xfId="0" applyNumberFormat="1" applyFont="1" applyFill="1" applyAlignment="1">
      <alignment horizontal="right"/>
    </xf>
    <xf numFmtId="0" fontId="47" fillId="4" borderId="0" xfId="0" applyFont="1" applyFill="1" applyAlignment="1">
      <alignment horizontal="center" vertical="center"/>
    </xf>
    <xf numFmtId="167" fontId="48" fillId="4" borderId="0" xfId="0" applyNumberFormat="1" applyFont="1" applyFill="1" applyAlignment="1">
      <alignment horizontal="left" vertical="center"/>
    </xf>
    <xf numFmtId="167" fontId="15" fillId="6" borderId="0" xfId="0" applyNumberFormat="1" applyFont="1" applyFill="1" applyAlignment="1">
      <alignment horizontal="right"/>
    </xf>
    <xf numFmtId="0" fontId="49" fillId="4" borderId="0" xfId="0" applyFont="1" applyFill="1"/>
    <xf numFmtId="0" fontId="52" fillId="9" borderId="3" xfId="5" applyFont="1" applyAlignment="1">
      <alignment horizontal="center"/>
    </xf>
    <xf numFmtId="2" fontId="51" fillId="9" borderId="3" xfId="5" applyNumberFormat="1" applyAlignment="1">
      <alignment horizontal="center"/>
    </xf>
    <xf numFmtId="166" fontId="51" fillId="9" borderId="3" xfId="1" applyFont="1" applyFill="1" applyBorder="1" applyAlignment="1">
      <alignment horizontal="center"/>
    </xf>
    <xf numFmtId="0" fontId="53" fillId="0" borderId="4" xfId="0" applyFont="1" applyBorder="1" applyAlignment="1">
      <alignment horizontal="center" vertical="center"/>
    </xf>
    <xf numFmtId="0" fontId="54" fillId="0" borderId="4" xfId="0" applyFont="1" applyBorder="1" applyAlignment="1">
      <alignment horizontal="left" vertical="center"/>
    </xf>
    <xf numFmtId="10" fontId="54" fillId="6" borderId="4" xfId="3" applyNumberFormat="1" applyFont="1" applyFill="1" applyBorder="1" applyAlignment="1">
      <alignment horizontal="center" vertical="center"/>
    </xf>
    <xf numFmtId="168" fontId="51" fillId="9" borderId="3" xfId="1" applyNumberFormat="1" applyFont="1" applyFill="1" applyBorder="1" applyAlignment="1">
      <alignment horizontal="center"/>
    </xf>
    <xf numFmtId="0" fontId="51" fillId="9" borderId="3" xfId="5" applyAlignment="1">
      <alignment horizontal="center"/>
    </xf>
    <xf numFmtId="0" fontId="50" fillId="3" borderId="2" xfId="4"/>
    <xf numFmtId="0" fontId="50" fillId="3" borderId="2" xfId="4" applyAlignment="1">
      <alignment horizontal="center"/>
    </xf>
    <xf numFmtId="166" fontId="50" fillId="3" borderId="2" xfId="1" applyFont="1" applyFill="1" applyBorder="1" applyAlignment="1">
      <alignment horizontal="center"/>
    </xf>
    <xf numFmtId="2" fontId="50" fillId="3" borderId="2" xfId="4" applyNumberFormat="1" applyAlignment="1">
      <alignment horizontal="center"/>
    </xf>
    <xf numFmtId="0" fontId="54" fillId="0" borderId="4" xfId="0" applyFont="1" applyBorder="1" applyAlignment="1">
      <alignment horizontal="center" vertical="center"/>
    </xf>
    <xf numFmtId="0" fontId="50" fillId="3" borderId="2" xfId="4" applyAlignment="1">
      <alignment horizontal="center" vertical="center"/>
    </xf>
    <xf numFmtId="166" fontId="51" fillId="9" borderId="3" xfId="5" applyNumberFormat="1"/>
    <xf numFmtId="166" fontId="51" fillId="9" borderId="3" xfId="1" applyFont="1" applyFill="1" applyBorder="1" applyAlignment="1">
      <alignment horizontal="center" vertical="center"/>
    </xf>
    <xf numFmtId="0" fontId="52" fillId="9" borderId="3" xfId="5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166" fontId="51" fillId="9" borderId="0" xfId="1" applyFont="1" applyFill="1" applyBorder="1" applyAlignment="1">
      <alignment horizontal="center" vertical="center"/>
    </xf>
    <xf numFmtId="9" fontId="51" fillId="9" borderId="0" xfId="3" applyFont="1" applyFill="1" applyBorder="1" applyAlignment="1">
      <alignment horizontal="center" vertical="center"/>
    </xf>
    <xf numFmtId="0" fontId="55" fillId="9" borderId="5" xfId="5" applyFont="1" applyBorder="1" applyAlignment="1">
      <alignment horizontal="center" wrapText="1"/>
    </xf>
    <xf numFmtId="10" fontId="57" fillId="10" borderId="0" xfId="6" applyNumberFormat="1" applyFont="1" applyAlignment="1">
      <alignment horizontal="center"/>
    </xf>
    <xf numFmtId="10" fontId="50" fillId="3" borderId="2" xfId="3" applyNumberFormat="1" applyFont="1" applyFill="1" applyBorder="1" applyAlignment="1">
      <alignment horizontal="center"/>
    </xf>
    <xf numFmtId="10" fontId="18" fillId="11" borderId="0" xfId="7" applyNumberFormat="1" applyFont="1" applyAlignment="1">
      <alignment horizontal="center"/>
    </xf>
    <xf numFmtId="10" fontId="51" fillId="9" borderId="3" xfId="5" applyNumberFormat="1" applyAlignment="1">
      <alignment horizontal="center" vertical="center"/>
    </xf>
    <xf numFmtId="10" fontId="51" fillId="9" borderId="3" xfId="5" applyNumberFormat="1" applyAlignment="1">
      <alignment horizontal="center"/>
    </xf>
    <xf numFmtId="166" fontId="51" fillId="9" borderId="3" xfId="5" applyNumberFormat="1" applyAlignment="1">
      <alignment horizontal="center"/>
    </xf>
    <xf numFmtId="10" fontId="54" fillId="0" borderId="0" xfId="3" applyNumberFormat="1" applyFont="1" applyFill="1" applyBorder="1" applyAlignment="1">
      <alignment horizontal="center" vertical="center"/>
    </xf>
    <xf numFmtId="9" fontId="0" fillId="0" borderId="0" xfId="0" applyNumberFormat="1"/>
    <xf numFmtId="0" fontId="58" fillId="9" borderId="3" xfId="5" applyFont="1" applyAlignment="1">
      <alignment horizontal="center" wrapText="1"/>
    </xf>
    <xf numFmtId="0" fontId="59" fillId="9" borderId="3" xfId="5" applyFont="1" applyAlignment="1">
      <alignment horizontal="center" wrapText="1"/>
    </xf>
    <xf numFmtId="166" fontId="15" fillId="6" borderId="0" xfId="1" applyFont="1" applyFill="1" applyAlignment="1">
      <alignment vertical="center"/>
    </xf>
    <xf numFmtId="2" fontId="51" fillId="0" borderId="0" xfId="5" applyNumberFormat="1" applyFill="1" applyBorder="1" applyAlignment="1">
      <alignment horizontal="center"/>
    </xf>
    <xf numFmtId="0" fontId="52" fillId="0" borderId="0" xfId="5" applyFont="1" applyFill="1" applyBorder="1" applyAlignment="1">
      <alignment horizontal="center"/>
    </xf>
    <xf numFmtId="0" fontId="58" fillId="0" borderId="0" xfId="5" applyFont="1" applyFill="1" applyBorder="1" applyAlignment="1">
      <alignment horizontal="center" wrapText="1"/>
    </xf>
    <xf numFmtId="0" fontId="59" fillId="0" borderId="0" xfId="5" applyFont="1" applyFill="1" applyBorder="1" applyAlignment="1">
      <alignment horizontal="center" wrapText="1"/>
    </xf>
    <xf numFmtId="0" fontId="51" fillId="0" borderId="0" xfId="5" applyFill="1" applyBorder="1" applyAlignment="1">
      <alignment horizontal="center"/>
    </xf>
    <xf numFmtId="0" fontId="55" fillId="0" borderId="0" xfId="5" applyFont="1" applyFill="1" applyBorder="1" applyAlignment="1">
      <alignment horizontal="center" wrapText="1"/>
    </xf>
    <xf numFmtId="168" fontId="51" fillId="0" borderId="0" xfId="1" applyNumberFormat="1" applyFont="1" applyFill="1" applyBorder="1" applyAlignment="1">
      <alignment horizontal="center"/>
    </xf>
    <xf numFmtId="166" fontId="51" fillId="0" borderId="0" xfId="5" applyNumberFormat="1" applyFill="1" applyBorder="1"/>
    <xf numFmtId="10" fontId="51" fillId="0" borderId="0" xfId="5" applyNumberFormat="1" applyFill="1" applyBorder="1" applyAlignment="1">
      <alignment horizontal="center"/>
    </xf>
    <xf numFmtId="0" fontId="61" fillId="4" borderId="0" xfId="0" applyFont="1" applyFill="1"/>
    <xf numFmtId="9" fontId="61" fillId="4" borderId="0" xfId="0" applyNumberFormat="1" applyFont="1" applyFill="1" applyAlignment="1">
      <alignment horizontal="center"/>
    </xf>
    <xf numFmtId="0" fontId="67" fillId="4" borderId="0" xfId="0" applyFont="1" applyFill="1" applyAlignment="1">
      <alignment horizontal="right" vertical="center"/>
    </xf>
    <xf numFmtId="0" fontId="68" fillId="4" borderId="0" xfId="0" applyFont="1" applyFill="1" applyAlignment="1">
      <alignment horizontal="right"/>
    </xf>
    <xf numFmtId="0" fontId="61" fillId="4" borderId="0" xfId="0" applyFont="1" applyFill="1" applyAlignment="1">
      <alignment horizontal="right"/>
    </xf>
    <xf numFmtId="0" fontId="65" fillId="4" borderId="0" xfId="0" applyFont="1" applyFill="1" applyAlignment="1">
      <alignment horizontal="right" vertical="center"/>
    </xf>
    <xf numFmtId="0" fontId="65" fillId="14" borderId="8" xfId="0" applyFont="1" applyFill="1" applyBorder="1" applyAlignment="1">
      <alignment horizontal="center" vertical="center"/>
    </xf>
    <xf numFmtId="9" fontId="61" fillId="4" borderId="0" xfId="0" applyNumberFormat="1" applyFont="1" applyFill="1" applyAlignment="1">
      <alignment horizontal="right"/>
    </xf>
    <xf numFmtId="2" fontId="65" fillId="4" borderId="0" xfId="5" applyNumberFormat="1" applyFont="1" applyFill="1" applyBorder="1" applyAlignment="1">
      <alignment horizontal="center"/>
    </xf>
    <xf numFmtId="10" fontId="55" fillId="4" borderId="0" xfId="5" applyNumberFormat="1" applyFont="1" applyFill="1" applyBorder="1" applyAlignment="1">
      <alignment horizontal="center"/>
    </xf>
    <xf numFmtId="0" fontId="66" fillId="13" borderId="8" xfId="0" applyFont="1" applyFill="1" applyBorder="1" applyAlignment="1">
      <alignment horizontal="center" vertical="center"/>
    </xf>
    <xf numFmtId="166" fontId="0" fillId="4" borderId="4" xfId="1" applyFont="1" applyFill="1" applyBorder="1"/>
    <xf numFmtId="166" fontId="0" fillId="4" borderId="4" xfId="0" applyNumberFormat="1" applyFill="1" applyBorder="1"/>
    <xf numFmtId="2" fontId="0" fillId="4" borderId="4" xfId="0" applyNumberFormat="1" applyFill="1" applyBorder="1"/>
    <xf numFmtId="0" fontId="0" fillId="4" borderId="4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10" fontId="0" fillId="4" borderId="4" xfId="3" applyNumberFormat="1" applyFont="1" applyFill="1" applyBorder="1"/>
    <xf numFmtId="0" fontId="69" fillId="3" borderId="15" xfId="9" applyBorder="1" applyAlignment="1">
      <alignment wrapText="1"/>
    </xf>
    <xf numFmtId="166" fontId="69" fillId="3" borderId="15" xfId="1" applyFont="1" applyFill="1" applyBorder="1"/>
    <xf numFmtId="0" fontId="53" fillId="0" borderId="16" xfId="0" applyFont="1" applyBorder="1" applyAlignment="1">
      <alignment horizontal="center" vertical="center"/>
    </xf>
    <xf numFmtId="10" fontId="0" fillId="0" borderId="0" xfId="3" applyNumberFormat="1" applyFont="1"/>
    <xf numFmtId="0" fontId="34" fillId="15" borderId="0" xfId="0" applyFont="1" applyFill="1"/>
    <xf numFmtId="0" fontId="14" fillId="0" borderId="25" xfId="0" applyFont="1" applyBorder="1"/>
    <xf numFmtId="169" fontId="79" fillId="20" borderId="19" xfId="0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8" fillId="5" borderId="0" xfId="0" applyFont="1" applyFill="1" applyAlignment="1">
      <alignment horizontal="center"/>
    </xf>
    <xf numFmtId="0" fontId="14" fillId="21" borderId="39" xfId="0" applyFont="1" applyFill="1" applyBorder="1"/>
    <xf numFmtId="0" fontId="14" fillId="21" borderId="17" xfId="0" applyFont="1" applyFill="1" applyBorder="1" applyAlignment="1">
      <alignment horizontal="center" vertical="center"/>
    </xf>
    <xf numFmtId="169" fontId="79" fillId="20" borderId="18" xfId="0" applyNumberFormat="1" applyFont="1" applyFill="1" applyBorder="1" applyAlignment="1">
      <alignment horizontal="center" vertical="center"/>
    </xf>
    <xf numFmtId="0" fontId="26" fillId="4" borderId="0" xfId="0" applyFont="1" applyFill="1"/>
    <xf numFmtId="0" fontId="14" fillId="14" borderId="28" xfId="0" applyFont="1" applyFill="1" applyBorder="1" applyAlignment="1">
      <alignment horizontal="center" vertical="center"/>
    </xf>
    <xf numFmtId="0" fontId="14" fillId="14" borderId="40" xfId="0" applyFont="1" applyFill="1" applyBorder="1" applyAlignment="1">
      <alignment horizontal="center" vertical="center"/>
    </xf>
    <xf numFmtId="0" fontId="14" fillId="14" borderId="41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/>
    </xf>
    <xf numFmtId="0" fontId="0" fillId="4" borderId="0" xfId="0" applyFill="1" applyAlignment="1">
      <alignment wrapText="1"/>
    </xf>
    <xf numFmtId="0" fontId="21" fillId="24" borderId="23" xfId="0" applyFont="1" applyFill="1" applyBorder="1" applyAlignment="1">
      <alignment horizontal="center" vertical="center"/>
    </xf>
    <xf numFmtId="0" fontId="14" fillId="5" borderId="23" xfId="0" applyFont="1" applyFill="1" applyBorder="1"/>
    <xf numFmtId="0" fontId="0" fillId="4" borderId="31" xfId="0" applyFill="1" applyBorder="1" applyAlignment="1">
      <alignment wrapText="1"/>
    </xf>
    <xf numFmtId="0" fontId="0" fillId="4" borderId="34" xfId="0" applyFill="1" applyBorder="1" applyAlignment="1">
      <alignment wrapText="1"/>
    </xf>
    <xf numFmtId="0" fontId="0" fillId="4" borderId="34" xfId="0" applyFill="1" applyBorder="1"/>
    <xf numFmtId="0" fontId="0" fillId="4" borderId="32" xfId="0" applyFill="1" applyBorder="1"/>
    <xf numFmtId="0" fontId="0" fillId="4" borderId="31" xfId="0" applyFill="1" applyBorder="1"/>
    <xf numFmtId="0" fontId="0" fillId="4" borderId="32" xfId="0" applyFill="1" applyBorder="1" applyAlignment="1">
      <alignment wrapText="1"/>
    </xf>
    <xf numFmtId="0" fontId="18" fillId="4" borderId="0" xfId="0" applyFont="1" applyFill="1"/>
    <xf numFmtId="0" fontId="0" fillId="4" borderId="21" xfId="0" applyFill="1" applyBorder="1"/>
    <xf numFmtId="0" fontId="76" fillId="4" borderId="0" xfId="0" applyFont="1" applyFill="1"/>
    <xf numFmtId="0" fontId="10" fillId="4" borderId="0" xfId="0" applyFont="1" applyFill="1" applyAlignment="1">
      <alignment horizontal="center" vertical="center" wrapText="1"/>
    </xf>
    <xf numFmtId="0" fontId="100" fillId="0" borderId="0" xfId="0" applyFont="1" applyAlignment="1">
      <alignment wrapText="1"/>
    </xf>
    <xf numFmtId="0" fontId="26" fillId="0" borderId="25" xfId="0" applyFont="1" applyBorder="1"/>
    <xf numFmtId="0" fontId="26" fillId="0" borderId="42" xfId="0" applyFont="1" applyBorder="1" applyAlignment="1">
      <alignment horizontal="center"/>
    </xf>
    <xf numFmtId="0" fontId="91" fillId="19" borderId="42" xfId="0" applyFont="1" applyFill="1" applyBorder="1" applyAlignment="1">
      <alignment horizontal="center"/>
    </xf>
    <xf numFmtId="0" fontId="26" fillId="29" borderId="27" xfId="0" applyFont="1" applyFill="1" applyBorder="1" applyAlignment="1">
      <alignment horizontal="center"/>
    </xf>
    <xf numFmtId="0" fontId="26" fillId="29" borderId="26" xfId="0" applyFont="1" applyFill="1" applyBorder="1" applyAlignment="1">
      <alignment horizontal="center"/>
    </xf>
    <xf numFmtId="0" fontId="14" fillId="21" borderId="23" xfId="0" applyFont="1" applyFill="1" applyBorder="1" applyAlignment="1">
      <alignment horizontal="center" vertical="center"/>
    </xf>
    <xf numFmtId="0" fontId="101" fillId="33" borderId="19" xfId="0" applyFont="1" applyFill="1" applyBorder="1"/>
    <xf numFmtId="0" fontId="101" fillId="33" borderId="30" xfId="0" applyFont="1" applyFill="1" applyBorder="1"/>
    <xf numFmtId="10" fontId="101" fillId="33" borderId="31" xfId="0" applyNumberFormat="1" applyFont="1" applyFill="1" applyBorder="1"/>
    <xf numFmtId="0" fontId="101" fillId="33" borderId="34" xfId="0" applyFont="1" applyFill="1" applyBorder="1"/>
    <xf numFmtId="0" fontId="10" fillId="4" borderId="0" xfId="0" applyFont="1" applyFill="1" applyAlignment="1">
      <alignment horizontal="left" vertical="center"/>
    </xf>
    <xf numFmtId="0" fontId="81" fillId="19" borderId="45" xfId="0" applyFont="1" applyFill="1" applyBorder="1" applyAlignment="1">
      <alignment horizontal="center"/>
    </xf>
    <xf numFmtId="0" fontId="81" fillId="19" borderId="35" xfId="0" applyFont="1" applyFill="1" applyBorder="1" applyAlignment="1">
      <alignment horizontal="center"/>
    </xf>
    <xf numFmtId="0" fontId="96" fillId="4" borderId="0" xfId="0" applyFont="1" applyFill="1" applyAlignment="1">
      <alignment horizontal="left" vertical="center"/>
    </xf>
    <xf numFmtId="0" fontId="76" fillId="4" borderId="0" xfId="0" applyFont="1" applyFill="1" applyAlignment="1">
      <alignment vertical="center"/>
    </xf>
    <xf numFmtId="0" fontId="76" fillId="4" borderId="18" xfId="0" applyFont="1" applyFill="1" applyBorder="1"/>
    <xf numFmtId="0" fontId="76" fillId="4" borderId="21" xfId="0" applyFont="1" applyFill="1" applyBorder="1"/>
    <xf numFmtId="167" fontId="107" fillId="4" borderId="20" xfId="0" applyNumberFormat="1" applyFont="1" applyFill="1" applyBorder="1"/>
    <xf numFmtId="0" fontId="76" fillId="4" borderId="23" xfId="0" applyFont="1" applyFill="1" applyBorder="1"/>
    <xf numFmtId="0" fontId="42" fillId="4" borderId="23" xfId="0" applyFont="1" applyFill="1" applyBorder="1"/>
    <xf numFmtId="0" fontId="0" fillId="4" borderId="29" xfId="0" applyFill="1" applyBorder="1"/>
    <xf numFmtId="0" fontId="92" fillId="4" borderId="0" xfId="0" applyFont="1" applyFill="1" applyAlignment="1">
      <alignment horizontal="right"/>
    </xf>
    <xf numFmtId="0" fontId="14" fillId="14" borderId="30" xfId="0" applyFont="1" applyFill="1" applyBorder="1" applyAlignment="1">
      <alignment horizontal="center" vertical="center"/>
    </xf>
    <xf numFmtId="167" fontId="72" fillId="0" borderId="35" xfId="0" applyNumberFormat="1" applyFont="1" applyBorder="1" applyAlignment="1">
      <alignment horizontal="center" vertical="center"/>
    </xf>
    <xf numFmtId="10" fontId="74" fillId="4" borderId="32" xfId="0" applyNumberFormat="1" applyFont="1" applyFill="1" applyBorder="1"/>
    <xf numFmtId="0" fontId="18" fillId="5" borderId="19" xfId="0" applyFont="1" applyFill="1" applyBorder="1" applyAlignment="1">
      <alignment horizontal="center" wrapText="1"/>
    </xf>
    <xf numFmtId="0" fontId="76" fillId="4" borderId="0" xfId="0" applyFont="1" applyFill="1" applyAlignment="1">
      <alignment horizontal="left" wrapText="1"/>
    </xf>
    <xf numFmtId="0" fontId="97" fillId="4" borderId="0" xfId="0" applyFont="1" applyFill="1" applyAlignment="1">
      <alignment horizontal="left" vertical="center" wrapText="1"/>
    </xf>
    <xf numFmtId="0" fontId="96" fillId="4" borderId="0" xfId="0" applyFont="1" applyFill="1" applyAlignment="1">
      <alignment horizontal="center" vertical="center"/>
    </xf>
    <xf numFmtId="0" fontId="22" fillId="4" borderId="23" xfId="0" applyFont="1" applyFill="1" applyBorder="1" applyAlignment="1">
      <alignment horizontal="center" wrapText="1"/>
    </xf>
    <xf numFmtId="0" fontId="22" fillId="4" borderId="0" xfId="0" applyFont="1" applyFill="1" applyAlignment="1">
      <alignment horizontal="center" wrapText="1"/>
    </xf>
    <xf numFmtId="167" fontId="84" fillId="0" borderId="17" xfId="0" applyNumberFormat="1" applyFont="1" applyBorder="1" applyAlignment="1">
      <alignment horizontal="center" vertical="center"/>
    </xf>
    <xf numFmtId="167" fontId="18" fillId="8" borderId="23" xfId="0" applyNumberFormat="1" applyFont="1" applyFill="1" applyBorder="1" applyAlignment="1">
      <alignment horizontal="center" vertical="center"/>
    </xf>
    <xf numFmtId="0" fontId="110" fillId="19" borderId="42" xfId="0" applyFont="1" applyFill="1" applyBorder="1" applyAlignment="1">
      <alignment horizontal="center"/>
    </xf>
    <xf numFmtId="0" fontId="99" fillId="33" borderId="19" xfId="0" applyFont="1" applyFill="1" applyBorder="1"/>
    <xf numFmtId="0" fontId="110" fillId="19" borderId="55" xfId="0" applyFont="1" applyFill="1" applyBorder="1" applyAlignment="1">
      <alignment horizontal="center"/>
    </xf>
    <xf numFmtId="167" fontId="84" fillId="0" borderId="29" xfId="0" applyNumberFormat="1" applyFont="1" applyBorder="1" applyAlignment="1">
      <alignment horizontal="center" vertical="center"/>
    </xf>
    <xf numFmtId="0" fontId="99" fillId="33" borderId="22" xfId="0" applyFont="1" applyFill="1" applyBorder="1"/>
    <xf numFmtId="2" fontId="79" fillId="20" borderId="17" xfId="0" applyNumberFormat="1" applyFont="1" applyFill="1" applyBorder="1" applyAlignment="1">
      <alignment horizontal="center" vertical="center"/>
    </xf>
    <xf numFmtId="10" fontId="105" fillId="33" borderId="31" xfId="0" applyNumberFormat="1" applyFont="1" applyFill="1" applyBorder="1"/>
    <xf numFmtId="0" fontId="105" fillId="33" borderId="34" xfId="0" applyFont="1" applyFill="1" applyBorder="1"/>
    <xf numFmtId="165" fontId="108" fillId="4" borderId="32" xfId="0" applyNumberFormat="1" applyFont="1" applyFill="1" applyBorder="1"/>
    <xf numFmtId="165" fontId="94" fillId="4" borderId="32" xfId="0" applyNumberFormat="1" applyFont="1" applyFill="1" applyBorder="1"/>
    <xf numFmtId="165" fontId="102" fillId="34" borderId="42" xfId="0" applyNumberFormat="1" applyFont="1" applyFill="1" applyBorder="1"/>
    <xf numFmtId="165" fontId="101" fillId="33" borderId="34" xfId="0" applyNumberFormat="1" applyFont="1" applyFill="1" applyBorder="1"/>
    <xf numFmtId="165" fontId="102" fillId="15" borderId="31" xfId="0" applyNumberFormat="1" applyFont="1" applyFill="1" applyBorder="1"/>
    <xf numFmtId="165" fontId="102" fillId="32" borderId="31" xfId="0" applyNumberFormat="1" applyFont="1" applyFill="1" applyBorder="1"/>
    <xf numFmtId="165" fontId="103" fillId="15" borderId="31" xfId="0" applyNumberFormat="1" applyFont="1" applyFill="1" applyBorder="1"/>
    <xf numFmtId="165" fontId="102" fillId="34" borderId="43" xfId="0" applyNumberFormat="1" applyFont="1" applyFill="1" applyBorder="1"/>
    <xf numFmtId="165" fontId="84" fillId="0" borderId="17" xfId="0" applyNumberFormat="1" applyFont="1" applyBorder="1" applyAlignment="1">
      <alignment horizontal="center" vertical="center"/>
    </xf>
    <xf numFmtId="165" fontId="84" fillId="0" borderId="19" xfId="0" applyNumberFormat="1" applyFont="1" applyBorder="1" applyAlignment="1">
      <alignment horizontal="center" vertical="center"/>
    </xf>
    <xf numFmtId="165" fontId="84" fillId="0" borderId="33" xfId="0" applyNumberFormat="1" applyFont="1" applyBorder="1" applyAlignment="1">
      <alignment horizontal="center" vertical="center"/>
    </xf>
    <xf numFmtId="165" fontId="75" fillId="8" borderId="18" xfId="0" applyNumberFormat="1" applyFont="1" applyFill="1" applyBorder="1" applyAlignment="1">
      <alignment horizontal="center" vertical="center"/>
    </xf>
    <xf numFmtId="165" fontId="100" fillId="34" borderId="42" xfId="0" applyNumberFormat="1" applyFont="1" applyFill="1" applyBorder="1"/>
    <xf numFmtId="165" fontId="105" fillId="33" borderId="34" xfId="0" applyNumberFormat="1" applyFont="1" applyFill="1" applyBorder="1"/>
    <xf numFmtId="165" fontId="100" fillId="15" borderId="31" xfId="0" applyNumberFormat="1" applyFont="1" applyFill="1" applyBorder="1"/>
    <xf numFmtId="165" fontId="100" fillId="32" borderId="31" xfId="0" applyNumberFormat="1" applyFont="1" applyFill="1" applyBorder="1"/>
    <xf numFmtId="165" fontId="113" fillId="15" borderId="31" xfId="0" applyNumberFormat="1" applyFont="1" applyFill="1" applyBorder="1"/>
    <xf numFmtId="165" fontId="112" fillId="36" borderId="35" xfId="0" applyNumberFormat="1" applyFont="1" applyFill="1" applyBorder="1" applyAlignment="1">
      <alignment horizontal="center"/>
    </xf>
    <xf numFmtId="165" fontId="100" fillId="34" borderId="43" xfId="0" applyNumberFormat="1" applyFont="1" applyFill="1" applyBorder="1"/>
    <xf numFmtId="165" fontId="112" fillId="36" borderId="30" xfId="0" applyNumberFormat="1" applyFont="1" applyFill="1" applyBorder="1" applyAlignment="1">
      <alignment horizontal="center"/>
    </xf>
    <xf numFmtId="0" fontId="105" fillId="33" borderId="19" xfId="0" applyFont="1" applyFill="1" applyBorder="1"/>
    <xf numFmtId="165" fontId="104" fillId="36" borderId="35" xfId="0" applyNumberFormat="1" applyFont="1" applyFill="1" applyBorder="1" applyAlignment="1">
      <alignment horizontal="center"/>
    </xf>
    <xf numFmtId="0" fontId="101" fillId="33" borderId="22" xfId="0" applyFont="1" applyFill="1" applyBorder="1"/>
    <xf numFmtId="165" fontId="104" fillId="36" borderId="30" xfId="0" applyNumberFormat="1" applyFont="1" applyFill="1" applyBorder="1" applyAlignment="1">
      <alignment horizontal="center"/>
    </xf>
    <xf numFmtId="0" fontId="26" fillId="21" borderId="17" xfId="0" applyFont="1" applyFill="1" applyBorder="1" applyAlignment="1">
      <alignment horizontal="center" vertical="center"/>
    </xf>
    <xf numFmtId="0" fontId="26" fillId="14" borderId="28" xfId="0" applyFont="1" applyFill="1" applyBorder="1" applyAlignment="1">
      <alignment horizontal="center" vertical="center"/>
    </xf>
    <xf numFmtId="0" fontId="26" fillId="14" borderId="40" xfId="0" applyFont="1" applyFill="1" applyBorder="1" applyAlignment="1">
      <alignment horizontal="center" vertical="center"/>
    </xf>
    <xf numFmtId="0" fontId="26" fillId="14" borderId="41" xfId="0" applyFont="1" applyFill="1" applyBorder="1" applyAlignment="1">
      <alignment horizontal="center" vertical="center"/>
    </xf>
    <xf numFmtId="0" fontId="91" fillId="19" borderId="55" xfId="0" applyFont="1" applyFill="1" applyBorder="1" applyAlignment="1">
      <alignment horizontal="center"/>
    </xf>
    <xf numFmtId="165" fontId="89" fillId="4" borderId="0" xfId="0" applyNumberFormat="1" applyFont="1" applyFill="1"/>
    <xf numFmtId="165" fontId="95" fillId="4" borderId="0" xfId="0" applyNumberFormat="1" applyFont="1" applyFill="1" applyAlignment="1">
      <alignment horizontal="center"/>
    </xf>
    <xf numFmtId="0" fontId="21" fillId="4" borderId="0" xfId="0" applyFont="1" applyFill="1"/>
    <xf numFmtId="0" fontId="118" fillId="4" borderId="0" xfId="0" applyFont="1" applyFill="1"/>
    <xf numFmtId="0" fontId="14" fillId="4" borderId="0" xfId="0" applyFont="1" applyFill="1" applyAlignment="1">
      <alignment horizontal="left"/>
    </xf>
    <xf numFmtId="0" fontId="100" fillId="4" borderId="0" xfId="0" applyFont="1" applyFill="1"/>
    <xf numFmtId="0" fontId="88" fillId="4" borderId="0" xfId="0" applyFont="1" applyFill="1" applyAlignment="1">
      <alignment horizontal="left"/>
    </xf>
    <xf numFmtId="165" fontId="24" fillId="4" borderId="0" xfId="0" applyNumberFormat="1" applyFont="1" applyFill="1"/>
    <xf numFmtId="0" fontId="14" fillId="21" borderId="38" xfId="0" applyFont="1" applyFill="1" applyBorder="1"/>
    <xf numFmtId="0" fontId="105" fillId="33" borderId="30" xfId="0" applyFont="1" applyFill="1" applyBorder="1"/>
    <xf numFmtId="0" fontId="14" fillId="5" borderId="66" xfId="0" applyFont="1" applyFill="1" applyBorder="1"/>
    <xf numFmtId="0" fontId="14" fillId="5" borderId="11" xfId="0" applyFont="1" applyFill="1" applyBorder="1"/>
    <xf numFmtId="0" fontId="18" fillId="5" borderId="11" xfId="0" applyFont="1" applyFill="1" applyBorder="1" applyAlignment="1">
      <alignment horizontal="center"/>
    </xf>
    <xf numFmtId="0" fontId="73" fillId="15" borderId="0" xfId="0" applyFont="1" applyFill="1"/>
    <xf numFmtId="165" fontId="120" fillId="0" borderId="0" xfId="0" applyNumberFormat="1" applyFont="1"/>
    <xf numFmtId="0" fontId="71" fillId="15" borderId="0" xfId="0" applyFont="1" applyFill="1"/>
    <xf numFmtId="165" fontId="121" fillId="15" borderId="0" xfId="0" applyNumberFormat="1" applyFont="1" applyFill="1"/>
    <xf numFmtId="0" fontId="93" fillId="15" borderId="0" xfId="0" applyFont="1" applyFill="1"/>
    <xf numFmtId="0" fontId="76" fillId="0" borderId="0" xfId="0" applyFont="1"/>
    <xf numFmtId="0" fontId="93" fillId="16" borderId="0" xfId="0" applyFont="1" applyFill="1"/>
    <xf numFmtId="0" fontId="122" fillId="15" borderId="0" xfId="0" applyFont="1" applyFill="1"/>
    <xf numFmtId="0" fontId="90" fillId="15" borderId="0" xfId="0" applyFont="1" applyFill="1"/>
    <xf numFmtId="167" fontId="88" fillId="4" borderId="0" xfId="0" applyNumberFormat="1" applyFont="1" applyFill="1" applyAlignment="1">
      <alignment horizontal="center" vertical="center"/>
    </xf>
    <xf numFmtId="165" fontId="105" fillId="4" borderId="0" xfId="0" applyNumberFormat="1" applyFont="1" applyFill="1" applyAlignment="1">
      <alignment horizontal="center" vertical="center"/>
    </xf>
    <xf numFmtId="165" fontId="119" fillId="4" borderId="0" xfId="0" applyNumberFormat="1" applyFont="1" applyFill="1" applyAlignment="1">
      <alignment horizontal="center" vertical="center"/>
    </xf>
    <xf numFmtId="10" fontId="18" fillId="0" borderId="0" xfId="3" applyNumberFormat="1" applyFont="1"/>
    <xf numFmtId="0" fontId="76" fillId="4" borderId="0" xfId="0" applyFont="1" applyFill="1" applyAlignment="1">
      <alignment horizontal="right"/>
    </xf>
    <xf numFmtId="10" fontId="18" fillId="4" borderId="0" xfId="0" applyNumberFormat="1" applyFont="1" applyFill="1" applyAlignment="1">
      <alignment horizontal="center"/>
    </xf>
    <xf numFmtId="0" fontId="123" fillId="4" borderId="0" xfId="0" applyFont="1" applyFill="1" applyAlignment="1">
      <alignment horizontal="center"/>
    </xf>
    <xf numFmtId="0" fontId="124" fillId="15" borderId="0" xfId="0" applyFont="1" applyFill="1"/>
    <xf numFmtId="0" fontId="125" fillId="15" borderId="0" xfId="0" applyFont="1" applyFill="1"/>
    <xf numFmtId="0" fontId="59" fillId="4" borderId="0" xfId="0" applyFont="1" applyFill="1" applyAlignment="1">
      <alignment horizontal="center" vertical="center"/>
    </xf>
    <xf numFmtId="0" fontId="85" fillId="4" borderId="0" xfId="0" applyFont="1" applyFill="1" applyAlignment="1">
      <alignment horizontal="center" vertical="center" wrapText="1"/>
    </xf>
    <xf numFmtId="0" fontId="21" fillId="24" borderId="23" xfId="0" applyFont="1" applyFill="1" applyBorder="1" applyAlignment="1">
      <alignment horizontal="center" vertical="center" wrapText="1"/>
    </xf>
    <xf numFmtId="165" fontId="120" fillId="0" borderId="0" xfId="0" applyNumberFormat="1" applyFont="1" applyAlignment="1">
      <alignment horizontal="center"/>
    </xf>
    <xf numFmtId="165" fontId="121" fillId="15" borderId="0" xfId="0" applyNumberFormat="1" applyFont="1" applyFill="1" applyAlignment="1">
      <alignment horizontal="center"/>
    </xf>
    <xf numFmtId="165" fontId="89" fillId="4" borderId="0" xfId="0" applyNumberFormat="1" applyFon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0" fontId="18" fillId="4" borderId="0" xfId="3" applyNumberFormat="1" applyFont="1" applyFill="1" applyAlignment="1">
      <alignment horizontal="center"/>
    </xf>
    <xf numFmtId="0" fontId="105" fillId="33" borderId="22" xfId="0" applyFont="1" applyFill="1" applyBorder="1"/>
    <xf numFmtId="10" fontId="105" fillId="33" borderId="0" xfId="0" applyNumberFormat="1" applyFont="1" applyFill="1"/>
    <xf numFmtId="165" fontId="100" fillId="34" borderId="44" xfId="0" applyNumberFormat="1" applyFont="1" applyFill="1" applyBorder="1"/>
    <xf numFmtId="0" fontId="105" fillId="33" borderId="32" xfId="0" applyFont="1" applyFill="1" applyBorder="1"/>
    <xf numFmtId="165" fontId="100" fillId="15" borderId="0" xfId="0" applyNumberFormat="1" applyFont="1" applyFill="1"/>
    <xf numFmtId="165" fontId="100" fillId="32" borderId="0" xfId="0" applyNumberFormat="1" applyFont="1" applyFill="1"/>
    <xf numFmtId="165" fontId="113" fillId="15" borderId="0" xfId="0" applyNumberFormat="1" applyFont="1" applyFill="1"/>
    <xf numFmtId="0" fontId="0" fillId="4" borderId="60" xfId="0" applyFill="1" applyBorder="1"/>
    <xf numFmtId="0" fontId="0" fillId="4" borderId="64" xfId="0" applyFill="1" applyBorder="1"/>
    <xf numFmtId="0" fontId="0" fillId="4" borderId="11" xfId="0" applyFill="1" applyBorder="1"/>
    <xf numFmtId="0" fontId="0" fillId="4" borderId="12" xfId="0" applyFill="1" applyBorder="1"/>
    <xf numFmtId="0" fontId="126" fillId="15" borderId="32" xfId="0" applyFont="1" applyFill="1" applyBorder="1"/>
    <xf numFmtId="0" fontId="126" fillId="15" borderId="34" xfId="0" applyFont="1" applyFill="1" applyBorder="1"/>
    <xf numFmtId="10" fontId="99" fillId="16" borderId="8" xfId="0" applyNumberFormat="1" applyFont="1" applyFill="1" applyBorder="1"/>
    <xf numFmtId="2" fontId="99" fillId="16" borderId="34" xfId="0" applyNumberFormat="1" applyFont="1" applyFill="1" applyBorder="1"/>
    <xf numFmtId="0" fontId="126" fillId="15" borderId="31" xfId="0" applyFont="1" applyFill="1" applyBorder="1"/>
    <xf numFmtId="165" fontId="99" fillId="16" borderId="31" xfId="0" applyNumberFormat="1" applyFont="1" applyFill="1" applyBorder="1"/>
    <xf numFmtId="0" fontId="101" fillId="33" borderId="32" xfId="0" applyFont="1" applyFill="1" applyBorder="1"/>
    <xf numFmtId="165" fontId="102" fillId="15" borderId="0" xfId="0" applyNumberFormat="1" applyFont="1" applyFill="1"/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8" fillId="4" borderId="0" xfId="0" applyFont="1" applyFill="1" applyAlignment="1">
      <alignment horizontal="center" vertical="center"/>
    </xf>
    <xf numFmtId="0" fontId="18" fillId="5" borderId="3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76" fillId="4" borderId="0" xfId="0" applyFont="1" applyFill="1" applyAlignment="1">
      <alignment horizontal="left"/>
    </xf>
    <xf numFmtId="0" fontId="63" fillId="12" borderId="0" xfId="2" applyFont="1" applyFill="1" applyBorder="1" applyAlignment="1">
      <alignment horizontal="center" wrapText="1"/>
    </xf>
    <xf numFmtId="0" fontId="131" fillId="4" borderId="0" xfId="0" applyFont="1" applyFill="1" applyAlignment="1">
      <alignment horizontal="center"/>
    </xf>
    <xf numFmtId="0" fontId="131" fillId="4" borderId="0" xfId="0" applyFont="1" applyFill="1"/>
    <xf numFmtId="0" fontId="133" fillId="4" borderId="0" xfId="0" applyFont="1" applyFill="1" applyAlignment="1">
      <alignment horizontal="center"/>
    </xf>
    <xf numFmtId="164" fontId="134" fillId="4" borderId="0" xfId="0" applyNumberFormat="1" applyFont="1" applyFill="1" applyAlignment="1">
      <alignment horizontal="center"/>
    </xf>
    <xf numFmtId="9" fontId="133" fillId="4" borderId="0" xfId="0" applyNumberFormat="1" applyFont="1" applyFill="1" applyAlignment="1">
      <alignment horizontal="center"/>
    </xf>
    <xf numFmtId="164" fontId="135" fillId="4" borderId="32" xfId="0" applyNumberFormat="1" applyFont="1" applyFill="1" applyBorder="1" applyAlignment="1">
      <alignment horizontal="center"/>
    </xf>
    <xf numFmtId="0" fontId="141" fillId="19" borderId="42" xfId="0" applyFont="1" applyFill="1" applyBorder="1" applyAlignment="1">
      <alignment horizontal="center"/>
    </xf>
    <xf numFmtId="0" fontId="141" fillId="19" borderId="55" xfId="0" applyFont="1" applyFill="1" applyBorder="1" applyAlignment="1">
      <alignment horizontal="center"/>
    </xf>
    <xf numFmtId="0" fontId="14" fillId="5" borderId="29" xfId="0" applyFont="1" applyFill="1" applyBorder="1"/>
    <xf numFmtId="0" fontId="14" fillId="21" borderId="29" xfId="0" applyFont="1" applyFill="1" applyBorder="1" applyAlignment="1">
      <alignment horizontal="center" vertical="center"/>
    </xf>
    <xf numFmtId="0" fontId="14" fillId="14" borderId="75" xfId="0" applyFont="1" applyFill="1" applyBorder="1" applyAlignment="1">
      <alignment horizontal="center" vertical="center"/>
    </xf>
    <xf numFmtId="0" fontId="14" fillId="14" borderId="76" xfId="0" applyFont="1" applyFill="1" applyBorder="1" applyAlignment="1">
      <alignment horizontal="center" vertical="center"/>
    </xf>
    <xf numFmtId="0" fontId="14" fillId="14" borderId="77" xfId="0" applyFont="1" applyFill="1" applyBorder="1" applyAlignment="1">
      <alignment horizontal="center" vertical="center"/>
    </xf>
    <xf numFmtId="165" fontId="23" fillId="4" borderId="0" xfId="0" applyNumberFormat="1" applyFont="1" applyFill="1" applyAlignment="1">
      <alignment horizontal="center"/>
    </xf>
    <xf numFmtId="165" fontId="142" fillId="0" borderId="0" xfId="0" applyNumberFormat="1" applyFont="1"/>
    <xf numFmtId="165" fontId="143" fillId="4" borderId="0" xfId="0" applyNumberFormat="1" applyFont="1" applyFill="1" applyAlignment="1">
      <alignment horizontal="center"/>
    </xf>
    <xf numFmtId="165" fontId="144" fillId="15" borderId="0" xfId="0" applyNumberFormat="1" applyFont="1" applyFill="1"/>
    <xf numFmtId="166" fontId="0" fillId="4" borderId="0" xfId="1" applyFont="1" applyFill="1" applyBorder="1" applyAlignment="1">
      <alignment horizontal="center"/>
    </xf>
    <xf numFmtId="10" fontId="0" fillId="4" borderId="0" xfId="3" applyNumberFormat="1" applyFont="1" applyFill="1" applyBorder="1" applyAlignment="1">
      <alignment horizontal="center"/>
    </xf>
    <xf numFmtId="0" fontId="145" fillId="13" borderId="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/>
    </xf>
    <xf numFmtId="166" fontId="15" fillId="6" borderId="0" xfId="1" applyFont="1" applyFill="1" applyAlignment="1">
      <alignment horizontal="center" vertical="center"/>
    </xf>
    <xf numFmtId="0" fontId="26" fillId="4" borderId="0" xfId="0" applyFont="1" applyFill="1" applyAlignment="1">
      <alignment horizontal="center"/>
    </xf>
    <xf numFmtId="0" fontId="26" fillId="4" borderId="0" xfId="0" applyFont="1" applyFill="1" applyAlignment="1">
      <alignment horizontal="right" vertical="center"/>
    </xf>
    <xf numFmtId="0" fontId="146" fillId="4" borderId="0" xfId="0" applyFont="1" applyFill="1"/>
    <xf numFmtId="0" fontId="21" fillId="4" borderId="0" xfId="0" applyFont="1" applyFill="1" applyAlignment="1">
      <alignment horizontal="right" vertical="center"/>
    </xf>
    <xf numFmtId="0" fontId="26" fillId="4" borderId="0" xfId="0" applyFont="1" applyFill="1" applyAlignment="1">
      <alignment horizontal="right"/>
    </xf>
    <xf numFmtId="0" fontId="147" fillId="4" borderId="0" xfId="0" applyFont="1" applyFill="1" applyAlignment="1">
      <alignment horizontal="center" wrapText="1"/>
    </xf>
    <xf numFmtId="0" fontId="39" fillId="4" borderId="0" xfId="0" applyFont="1" applyFill="1" applyAlignment="1">
      <alignment horizontal="right" vertical="center"/>
    </xf>
    <xf numFmtId="2" fontId="148" fillId="4" borderId="0" xfId="5" applyNumberFormat="1" applyFont="1" applyFill="1" applyBorder="1" applyAlignment="1">
      <alignment horizontal="left"/>
    </xf>
    <xf numFmtId="166" fontId="148" fillId="4" borderId="0" xfId="5" applyNumberFormat="1" applyFont="1" applyFill="1" applyBorder="1" applyAlignment="1"/>
    <xf numFmtId="10" fontId="148" fillId="4" borderId="0" xfId="5" applyNumberFormat="1" applyFont="1" applyFill="1" applyBorder="1" applyAlignment="1">
      <alignment horizontal="center" vertical="center"/>
    </xf>
    <xf numFmtId="166" fontId="148" fillId="4" borderId="0" xfId="1" applyFont="1" applyFill="1" applyBorder="1" applyAlignment="1">
      <alignment horizontal="center" vertical="center"/>
    </xf>
    <xf numFmtId="9" fontId="149" fillId="4" borderId="0" xfId="3" applyFont="1" applyFill="1" applyBorder="1" applyAlignment="1">
      <alignment horizontal="center"/>
    </xf>
    <xf numFmtId="166" fontId="148" fillId="4" borderId="0" xfId="5" applyNumberFormat="1" applyFont="1" applyFill="1" applyBorder="1"/>
    <xf numFmtId="43" fontId="150" fillId="4" borderId="0" xfId="8" applyFont="1" applyFill="1" applyBorder="1"/>
    <xf numFmtId="9" fontId="78" fillId="4" borderId="0" xfId="3" applyFont="1" applyFill="1" applyBorder="1" applyAlignment="1">
      <alignment horizontal="center"/>
    </xf>
    <xf numFmtId="165" fontId="18" fillId="4" borderId="0" xfId="0" applyNumberFormat="1" applyFont="1" applyFill="1"/>
    <xf numFmtId="166" fontId="0" fillId="4" borderId="0" xfId="1" applyFont="1" applyFill="1" applyBorder="1" applyAlignment="1">
      <alignment vertical="center"/>
    </xf>
    <xf numFmtId="10" fontId="0" fillId="4" borderId="0" xfId="3" applyNumberFormat="1" applyFont="1" applyFill="1" applyBorder="1" applyAlignment="1">
      <alignment vertical="center"/>
    </xf>
    <xf numFmtId="10" fontId="0" fillId="4" borderId="0" xfId="3" applyNumberFormat="1" applyFont="1" applyFill="1" applyBorder="1" applyAlignment="1">
      <alignment horizontal="center" vertical="center"/>
    </xf>
    <xf numFmtId="166" fontId="123" fillId="4" borderId="0" xfId="5" applyNumberFormat="1" applyFont="1" applyFill="1" applyBorder="1" applyAlignment="1"/>
    <xf numFmtId="10" fontId="123" fillId="4" borderId="0" xfId="5" applyNumberFormat="1" applyFont="1" applyFill="1" applyBorder="1" applyAlignment="1">
      <alignment horizontal="center" vertical="center"/>
    </xf>
    <xf numFmtId="166" fontId="123" fillId="4" borderId="0" xfId="1" applyFont="1" applyFill="1" applyBorder="1" applyAlignment="1">
      <alignment horizontal="center" vertical="center"/>
    </xf>
    <xf numFmtId="9" fontId="155" fillId="4" borderId="0" xfId="3" applyFont="1" applyFill="1" applyBorder="1" applyAlignment="1">
      <alignment horizontal="center"/>
    </xf>
    <xf numFmtId="166" fontId="123" fillId="4" borderId="0" xfId="5" applyNumberFormat="1" applyFont="1" applyFill="1" applyBorder="1"/>
    <xf numFmtId="43" fontId="42" fillId="4" borderId="0" xfId="8" applyFont="1" applyFill="1" applyBorder="1"/>
    <xf numFmtId="9" fontId="76" fillId="4" borderId="0" xfId="3" applyFont="1" applyFill="1" applyBorder="1" applyAlignment="1">
      <alignment horizontal="center"/>
    </xf>
    <xf numFmtId="2" fontId="123" fillId="4" borderId="0" xfId="5" applyNumberFormat="1" applyFont="1" applyFill="1" applyBorder="1" applyAlignment="1">
      <alignment horizontal="left"/>
    </xf>
    <xf numFmtId="10" fontId="57" fillId="10" borderId="0" xfId="6" applyNumberFormat="1" applyFont="1" applyBorder="1" applyAlignment="1">
      <alignment horizontal="center"/>
    </xf>
    <xf numFmtId="10" fontId="18" fillId="11" borderId="0" xfId="7" applyNumberFormat="1" applyFont="1" applyBorder="1" applyAlignment="1">
      <alignment horizontal="center"/>
    </xf>
    <xf numFmtId="0" fontId="156" fillId="4" borderId="0" xfId="0" applyFont="1" applyFill="1"/>
    <xf numFmtId="164" fontId="133" fillId="4" borderId="0" xfId="0" applyNumberFormat="1" applyFont="1" applyFill="1" applyAlignment="1">
      <alignment horizontal="center" vertical="center"/>
    </xf>
    <xf numFmtId="0" fontId="133" fillId="4" borderId="0" xfId="0" applyFont="1" applyFill="1"/>
    <xf numFmtId="0" fontId="35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36" fillId="7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7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164" fontId="132" fillId="4" borderId="23" xfId="0" applyNumberFormat="1" applyFont="1" applyFill="1" applyBorder="1" applyAlignment="1">
      <alignment horizontal="center"/>
    </xf>
    <xf numFmtId="164" fontId="132" fillId="4" borderId="0" xfId="0" applyNumberFormat="1" applyFont="1" applyFill="1" applyAlignment="1">
      <alignment horizontal="center"/>
    </xf>
    <xf numFmtId="0" fontId="158" fillId="38" borderId="17" xfId="0" applyFont="1" applyFill="1" applyBorder="1" applyAlignment="1">
      <alignment horizontal="center" vertical="center"/>
    </xf>
    <xf numFmtId="0" fontId="158" fillId="38" borderId="33" xfId="0" applyFont="1" applyFill="1" applyBorder="1" applyAlignment="1">
      <alignment horizontal="center" vertical="center"/>
    </xf>
    <xf numFmtId="0" fontId="158" fillId="38" borderId="24" xfId="0" applyFont="1" applyFill="1" applyBorder="1" applyAlignment="1">
      <alignment horizontal="center" vertical="center"/>
    </xf>
    <xf numFmtId="0" fontId="157" fillId="17" borderId="17" xfId="0" applyFont="1" applyFill="1" applyBorder="1" applyAlignment="1">
      <alignment horizontal="center"/>
    </xf>
    <xf numFmtId="0" fontId="157" fillId="17" borderId="33" xfId="0" applyFont="1" applyFill="1" applyBorder="1" applyAlignment="1">
      <alignment horizontal="center"/>
    </xf>
    <xf numFmtId="0" fontId="157" fillId="17" borderId="24" xfId="0" applyFont="1" applyFill="1" applyBorder="1" applyAlignment="1">
      <alignment horizontal="center"/>
    </xf>
    <xf numFmtId="0" fontId="131" fillId="4" borderId="18" xfId="0" applyFont="1" applyFill="1" applyBorder="1" applyAlignment="1">
      <alignment horizontal="center" wrapText="1"/>
    </xf>
    <xf numFmtId="0" fontId="131" fillId="4" borderId="21" xfId="0" applyFont="1" applyFill="1" applyBorder="1" applyAlignment="1">
      <alignment horizontal="center" wrapText="1"/>
    </xf>
    <xf numFmtId="0" fontId="131" fillId="4" borderId="21" xfId="0" applyFont="1" applyFill="1" applyBorder="1" applyAlignment="1">
      <alignment horizontal="center"/>
    </xf>
    <xf numFmtId="0" fontId="131" fillId="4" borderId="20" xfId="0" applyFont="1" applyFill="1" applyBorder="1" applyAlignment="1">
      <alignment horizontal="center"/>
    </xf>
    <xf numFmtId="0" fontId="82" fillId="18" borderId="21" xfId="0" applyFont="1" applyFill="1" applyBorder="1" applyAlignment="1">
      <alignment horizontal="center" vertical="center" wrapText="1"/>
    </xf>
    <xf numFmtId="0" fontId="82" fillId="18" borderId="0" xfId="0" applyFont="1" applyFill="1" applyAlignment="1">
      <alignment horizontal="center" vertical="center" wrapText="1"/>
    </xf>
    <xf numFmtId="0" fontId="87" fillId="4" borderId="23" xfId="0" applyFont="1" applyFill="1" applyBorder="1" applyAlignment="1">
      <alignment horizontal="center" wrapText="1"/>
    </xf>
    <xf numFmtId="0" fontId="87" fillId="4" borderId="0" xfId="0" applyFont="1" applyFill="1" applyAlignment="1">
      <alignment horizontal="center" wrapText="1"/>
    </xf>
    <xf numFmtId="165" fontId="80" fillId="0" borderId="18" xfId="0" applyNumberFormat="1" applyFont="1" applyBorder="1" applyAlignment="1">
      <alignment horizontal="center" vertical="center"/>
    </xf>
    <xf numFmtId="165" fontId="80" fillId="0" borderId="17" xfId="0" applyNumberFormat="1" applyFont="1" applyBorder="1" applyAlignment="1">
      <alignment horizontal="center" vertical="center"/>
    </xf>
    <xf numFmtId="165" fontId="104" fillId="36" borderId="23" xfId="0" applyNumberFormat="1" applyFont="1" applyFill="1" applyBorder="1" applyAlignment="1"/>
    <xf numFmtId="0" fontId="104" fillId="36" borderId="32" xfId="0" applyFont="1" applyFill="1" applyBorder="1" applyAlignment="1"/>
    <xf numFmtId="165" fontId="104" fillId="36" borderId="29" xfId="0" applyNumberFormat="1" applyFont="1" applyFill="1" applyBorder="1" applyAlignment="1"/>
    <xf numFmtId="0" fontId="104" fillId="36" borderId="34" xfId="0" applyFont="1" applyFill="1" applyBorder="1" applyAlignment="1"/>
    <xf numFmtId="0" fontId="86" fillId="15" borderId="21" xfId="0" applyFont="1" applyFill="1" applyBorder="1" applyAlignment="1">
      <alignment horizontal="center" vertical="center" wrapText="1"/>
    </xf>
    <xf numFmtId="0" fontId="86" fillId="15" borderId="0" xfId="0" applyFont="1" applyFill="1" applyAlignment="1">
      <alignment horizontal="center" vertical="center" wrapText="1"/>
    </xf>
    <xf numFmtId="0" fontId="86" fillId="15" borderId="31" xfId="0" applyFont="1" applyFill="1" applyBorder="1" applyAlignment="1">
      <alignment horizontal="center" vertical="center" wrapText="1"/>
    </xf>
    <xf numFmtId="0" fontId="86" fillId="32" borderId="21" xfId="0" applyFont="1" applyFill="1" applyBorder="1" applyAlignment="1">
      <alignment horizontal="center" vertical="center" wrapText="1"/>
    </xf>
    <xf numFmtId="0" fontId="86" fillId="32" borderId="0" xfId="0" applyFont="1" applyFill="1" applyAlignment="1">
      <alignment horizontal="center" vertical="center" wrapText="1"/>
    </xf>
    <xf numFmtId="0" fontId="86" fillId="32" borderId="31" xfId="0" applyFont="1" applyFill="1" applyBorder="1" applyAlignment="1">
      <alignment horizontal="center" vertical="center" wrapText="1"/>
    </xf>
    <xf numFmtId="0" fontId="98" fillId="35" borderId="21" xfId="0" applyFont="1" applyFill="1" applyBorder="1" applyAlignment="1">
      <alignment horizontal="center" vertical="center" wrapText="1"/>
    </xf>
    <xf numFmtId="0" fontId="98" fillId="35" borderId="20" xfId="0" applyFont="1" applyFill="1" applyBorder="1" applyAlignment="1">
      <alignment horizontal="center" vertical="center" wrapText="1"/>
    </xf>
    <xf numFmtId="0" fontId="98" fillId="35" borderId="0" xfId="0" applyFont="1" applyFill="1" applyAlignment="1">
      <alignment horizontal="center" vertical="center" wrapText="1"/>
    </xf>
    <xf numFmtId="0" fontId="98" fillId="35" borderId="32" xfId="0" applyFont="1" applyFill="1" applyBorder="1" applyAlignment="1">
      <alignment horizontal="center" vertical="center" wrapText="1"/>
    </xf>
    <xf numFmtId="0" fontId="98" fillId="35" borderId="31" xfId="0" applyFont="1" applyFill="1" applyBorder="1" applyAlignment="1">
      <alignment horizontal="center" vertical="center" wrapText="1"/>
    </xf>
    <xf numFmtId="0" fontId="98" fillId="35" borderId="34" xfId="0" applyFont="1" applyFill="1" applyBorder="1" applyAlignment="1">
      <alignment horizontal="center" vertical="center" wrapText="1"/>
    </xf>
    <xf numFmtId="0" fontId="101" fillId="0" borderId="29" xfId="0" applyFont="1" applyBorder="1" applyAlignment="1">
      <alignment horizontal="center"/>
    </xf>
    <xf numFmtId="0" fontId="101" fillId="0" borderId="31" xfId="0" applyFont="1" applyBorder="1" applyAlignment="1">
      <alignment horizontal="center"/>
    </xf>
    <xf numFmtId="0" fontId="101" fillId="0" borderId="34" xfId="0" applyFont="1" applyBorder="1" applyAlignment="1">
      <alignment horizontal="center"/>
    </xf>
    <xf numFmtId="0" fontId="83" fillId="27" borderId="21" xfId="0" applyFont="1" applyFill="1" applyBorder="1" applyAlignment="1">
      <alignment horizontal="center" vertical="center" wrapText="1"/>
    </xf>
    <xf numFmtId="0" fontId="83" fillId="27" borderId="0" xfId="0" applyFont="1" applyFill="1" applyAlignment="1">
      <alignment horizontal="center" vertical="center" wrapText="1"/>
    </xf>
    <xf numFmtId="0" fontId="83" fillId="28" borderId="0" xfId="0" applyFont="1" applyFill="1" applyAlignment="1">
      <alignment horizontal="center" vertical="center" wrapText="1"/>
    </xf>
    <xf numFmtId="0" fontId="100" fillId="0" borderId="23" xfId="0" applyFont="1" applyBorder="1" applyAlignment="1">
      <alignment horizontal="center" wrapText="1"/>
    </xf>
    <xf numFmtId="0" fontId="100" fillId="0" borderId="29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1" xfId="0" applyFill="1" applyBorder="1" applyAlignment="1">
      <alignment horizontal="center"/>
    </xf>
    <xf numFmtId="0" fontId="106" fillId="31" borderId="18" xfId="0" applyFont="1" applyFill="1" applyBorder="1" applyAlignment="1">
      <alignment horizontal="center" vertical="center" wrapText="1"/>
    </xf>
    <xf numFmtId="0" fontId="106" fillId="31" borderId="21" xfId="0" applyFont="1" applyFill="1" applyBorder="1" applyAlignment="1">
      <alignment horizontal="center" vertical="center" wrapText="1"/>
    </xf>
    <xf numFmtId="0" fontId="106" fillId="31" borderId="20" xfId="0" applyFont="1" applyFill="1" applyBorder="1" applyAlignment="1">
      <alignment horizontal="center" vertical="center" wrapText="1"/>
    </xf>
    <xf numFmtId="0" fontId="106" fillId="31" borderId="29" xfId="0" applyFont="1" applyFill="1" applyBorder="1" applyAlignment="1">
      <alignment horizontal="center" vertical="center" wrapText="1"/>
    </xf>
    <xf numFmtId="0" fontId="106" fillId="31" borderId="31" xfId="0" applyFont="1" applyFill="1" applyBorder="1" applyAlignment="1">
      <alignment horizontal="center" vertical="center" wrapText="1"/>
    </xf>
    <xf numFmtId="0" fontId="106" fillId="31" borderId="34" xfId="0" applyFont="1" applyFill="1" applyBorder="1" applyAlignment="1">
      <alignment horizontal="center" vertical="center" wrapText="1"/>
    </xf>
    <xf numFmtId="167" fontId="21" fillId="4" borderId="18" xfId="0" applyNumberFormat="1" applyFont="1" applyFill="1" applyBorder="1" applyAlignment="1">
      <alignment horizontal="center" vertical="center"/>
    </xf>
    <xf numFmtId="167" fontId="21" fillId="4" borderId="23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7" fillId="4" borderId="23" xfId="0" applyFont="1" applyFill="1" applyBorder="1" applyAlignment="1">
      <alignment horizontal="center" vertical="center" wrapText="1"/>
    </xf>
    <xf numFmtId="0" fontId="97" fillId="4" borderId="0" xfId="0" applyFont="1" applyFill="1" applyAlignment="1">
      <alignment horizontal="center" vertical="center" wrapText="1"/>
    </xf>
    <xf numFmtId="0" fontId="80" fillId="18" borderId="17" xfId="0" applyFont="1" applyFill="1" applyBorder="1" applyAlignment="1">
      <alignment horizontal="center"/>
    </xf>
    <xf numFmtId="0" fontId="80" fillId="18" borderId="33" xfId="0" applyFont="1" applyFill="1" applyBorder="1" applyAlignment="1">
      <alignment horizontal="center"/>
    </xf>
    <xf numFmtId="0" fontId="80" fillId="18" borderId="24" xfId="0" applyFont="1" applyFill="1" applyBorder="1" applyAlignment="1">
      <alignment horizontal="center"/>
    </xf>
    <xf numFmtId="0" fontId="100" fillId="30" borderId="23" xfId="0" applyFont="1" applyFill="1" applyBorder="1" applyAlignment="1">
      <alignment horizontal="center" vertical="center" wrapText="1"/>
    </xf>
    <xf numFmtId="0" fontId="100" fillId="30" borderId="0" xfId="0" applyFont="1" applyFill="1" applyAlignment="1">
      <alignment horizontal="center" vertical="center" wrapText="1"/>
    </xf>
    <xf numFmtId="0" fontId="100" fillId="30" borderId="32" xfId="0" applyFont="1" applyFill="1" applyBorder="1" applyAlignment="1">
      <alignment horizontal="center" vertical="center" wrapText="1"/>
    </xf>
    <xf numFmtId="0" fontId="100" fillId="30" borderId="29" xfId="0" applyFont="1" applyFill="1" applyBorder="1" applyAlignment="1">
      <alignment horizontal="center" vertical="center" wrapText="1"/>
    </xf>
    <xf numFmtId="0" fontId="100" fillId="30" borderId="31" xfId="0" applyFont="1" applyFill="1" applyBorder="1" applyAlignment="1">
      <alignment horizontal="center" vertical="center" wrapText="1"/>
    </xf>
    <xf numFmtId="0" fontId="100" fillId="30" borderId="34" xfId="0" applyFont="1" applyFill="1" applyBorder="1" applyAlignment="1">
      <alignment horizontal="center" vertical="center" wrapText="1"/>
    </xf>
    <xf numFmtId="167" fontId="18" fillId="14" borderId="23" xfId="0" applyNumberFormat="1" applyFont="1" applyFill="1" applyBorder="1" applyAlignment="1">
      <alignment horizontal="center" vertical="center"/>
    </xf>
    <xf numFmtId="167" fontId="18" fillId="14" borderId="29" xfId="0" applyNumberFormat="1" applyFont="1" applyFill="1" applyBorder="1" applyAlignment="1">
      <alignment horizontal="center" vertical="center"/>
    </xf>
    <xf numFmtId="0" fontId="82" fillId="18" borderId="32" xfId="0" applyFont="1" applyFill="1" applyBorder="1" applyAlignment="1">
      <alignment horizontal="center" vertical="center" wrapText="1"/>
    </xf>
    <xf numFmtId="0" fontId="98" fillId="15" borderId="22" xfId="0" applyFont="1" applyFill="1" applyBorder="1" applyAlignment="1">
      <alignment horizontal="center" vertical="center" wrapText="1"/>
    </xf>
    <xf numFmtId="0" fontId="98" fillId="15" borderId="35" xfId="0" applyFont="1" applyFill="1" applyBorder="1" applyAlignment="1">
      <alignment horizontal="center" vertical="center" wrapText="1"/>
    </xf>
    <xf numFmtId="0" fontId="98" fillId="15" borderId="30" xfId="0" applyFont="1" applyFill="1" applyBorder="1" applyAlignment="1">
      <alignment horizontal="center" vertical="center" wrapText="1"/>
    </xf>
    <xf numFmtId="0" fontId="86" fillId="34" borderId="18" xfId="0" applyFont="1" applyFill="1" applyBorder="1" applyAlignment="1">
      <alignment horizontal="center" vertical="center" wrapText="1"/>
    </xf>
    <xf numFmtId="0" fontId="86" fillId="34" borderId="23" xfId="0" applyFont="1" applyFill="1" applyBorder="1" applyAlignment="1">
      <alignment horizontal="center" vertical="center" wrapText="1"/>
    </xf>
    <xf numFmtId="0" fontId="86" fillId="34" borderId="29" xfId="0" applyFont="1" applyFill="1" applyBorder="1" applyAlignment="1">
      <alignment horizontal="center" vertical="center" wrapText="1"/>
    </xf>
    <xf numFmtId="0" fontId="86" fillId="34" borderId="21" xfId="0" applyFont="1" applyFill="1" applyBorder="1" applyAlignment="1">
      <alignment horizontal="center" vertical="center" wrapText="1"/>
    </xf>
    <xf numFmtId="0" fontId="86" fillId="34" borderId="0" xfId="0" applyFont="1" applyFill="1" applyAlignment="1">
      <alignment horizontal="center" vertical="center" wrapText="1"/>
    </xf>
    <xf numFmtId="0" fontId="86" fillId="34" borderId="31" xfId="0" applyFont="1" applyFill="1" applyBorder="1" applyAlignment="1">
      <alignment horizontal="center" vertical="center" wrapText="1"/>
    </xf>
    <xf numFmtId="0" fontId="85" fillId="19" borderId="23" xfId="0" applyFont="1" applyFill="1" applyBorder="1" applyAlignment="1">
      <alignment horizontal="center" vertical="center" wrapText="1"/>
    </xf>
    <xf numFmtId="0" fontId="85" fillId="19" borderId="0" xfId="0" applyFont="1" applyFill="1" applyAlignment="1">
      <alignment horizontal="center" vertical="center" wrapText="1"/>
    </xf>
    <xf numFmtId="0" fontId="85" fillId="19" borderId="32" xfId="0" applyFont="1" applyFill="1" applyBorder="1" applyAlignment="1">
      <alignment horizontal="center" vertical="center" wrapText="1"/>
    </xf>
    <xf numFmtId="0" fontId="85" fillId="19" borderId="29" xfId="0" applyFont="1" applyFill="1" applyBorder="1" applyAlignment="1">
      <alignment horizontal="center" vertical="center" wrapText="1"/>
    </xf>
    <xf numFmtId="0" fontId="85" fillId="19" borderId="31" xfId="0" applyFont="1" applyFill="1" applyBorder="1" applyAlignment="1">
      <alignment horizontal="center" vertical="center" wrapText="1"/>
    </xf>
    <xf numFmtId="0" fontId="85" fillId="19" borderId="34" xfId="0" applyFont="1" applyFill="1" applyBorder="1" applyAlignment="1">
      <alignment horizontal="center" vertical="center" wrapText="1"/>
    </xf>
    <xf numFmtId="0" fontId="18" fillId="21" borderId="26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29" fillId="12" borderId="59" xfId="0" applyFont="1" applyFill="1" applyBorder="1" applyAlignment="1">
      <alignment horizontal="center" vertical="center" wrapText="1"/>
    </xf>
    <xf numFmtId="0" fontId="129" fillId="12" borderId="62" xfId="0" applyFont="1" applyFill="1" applyBorder="1" applyAlignment="1">
      <alignment horizontal="center" vertical="center" wrapText="1"/>
    </xf>
    <xf numFmtId="0" fontId="129" fillId="12" borderId="71" xfId="0" applyFont="1" applyFill="1" applyBorder="1" applyAlignment="1">
      <alignment horizontal="center" vertical="center" wrapText="1"/>
    </xf>
    <xf numFmtId="0" fontId="129" fillId="12" borderId="72" xfId="0" applyFont="1" applyFill="1" applyBorder="1" applyAlignment="1">
      <alignment horizontal="center" vertical="center" wrapText="1"/>
    </xf>
    <xf numFmtId="0" fontId="129" fillId="12" borderId="73" xfId="0" applyFont="1" applyFill="1" applyBorder="1" applyAlignment="1">
      <alignment horizontal="center" vertical="center" wrapText="1"/>
    </xf>
    <xf numFmtId="0" fontId="129" fillId="12" borderId="74" xfId="0" applyFont="1" applyFill="1" applyBorder="1" applyAlignment="1">
      <alignment horizontal="center" vertical="center" wrapText="1"/>
    </xf>
    <xf numFmtId="165" fontId="14" fillId="0" borderId="21" xfId="0" applyNumberFormat="1" applyFont="1" applyBorder="1" applyAlignment="1">
      <alignment horizontal="center" vertical="center"/>
    </xf>
    <xf numFmtId="165" fontId="14" fillId="0" borderId="33" xfId="0" applyNumberFormat="1" applyFont="1" applyBorder="1" applyAlignment="1">
      <alignment horizontal="center" vertical="center"/>
    </xf>
    <xf numFmtId="165" fontId="80" fillId="20" borderId="22" xfId="0" applyNumberFormat="1" applyFont="1" applyFill="1" applyBorder="1" applyAlignment="1">
      <alignment horizontal="center" vertical="center"/>
    </xf>
    <xf numFmtId="165" fontId="80" fillId="20" borderId="19" xfId="0" applyNumberFormat="1" applyFont="1" applyFill="1" applyBorder="1" applyAlignment="1">
      <alignment horizontal="center" vertical="center"/>
    </xf>
    <xf numFmtId="165" fontId="77" fillId="26" borderId="18" xfId="0" applyNumberFormat="1" applyFont="1" applyFill="1" applyBorder="1" applyAlignment="1">
      <alignment horizontal="center" vertical="center"/>
    </xf>
    <xf numFmtId="165" fontId="77" fillId="26" borderId="29" xfId="0" applyNumberFormat="1" applyFont="1" applyFill="1" applyBorder="1" applyAlignment="1">
      <alignment horizontal="center" vertical="center"/>
    </xf>
    <xf numFmtId="165" fontId="80" fillId="20" borderId="21" xfId="0" applyNumberFormat="1" applyFont="1" applyFill="1" applyBorder="1" applyAlignment="1">
      <alignment horizontal="center" vertical="center"/>
    </xf>
    <xf numFmtId="165" fontId="80" fillId="20" borderId="31" xfId="0" applyNumberFormat="1" applyFont="1" applyFill="1" applyBorder="1" applyAlignment="1">
      <alignment horizontal="center" vertical="center"/>
    </xf>
    <xf numFmtId="165" fontId="80" fillId="20" borderId="50" xfId="0" applyNumberFormat="1" applyFont="1" applyFill="1" applyBorder="1" applyAlignment="1">
      <alignment horizontal="center" vertical="center"/>
    </xf>
    <xf numFmtId="165" fontId="80" fillId="20" borderId="20" xfId="0" applyNumberFormat="1" applyFont="1" applyFill="1" applyBorder="1" applyAlignment="1">
      <alignment horizontal="center" vertical="center"/>
    </xf>
    <xf numFmtId="165" fontId="80" fillId="20" borderId="51" xfId="0" applyNumberFormat="1" applyFont="1" applyFill="1" applyBorder="1" applyAlignment="1">
      <alignment horizontal="center" vertical="center"/>
    </xf>
    <xf numFmtId="165" fontId="80" fillId="20" borderId="34" xfId="0" applyNumberFormat="1" applyFont="1" applyFill="1" applyBorder="1" applyAlignment="1">
      <alignment horizontal="center" vertical="center"/>
    </xf>
    <xf numFmtId="0" fontId="86" fillId="15" borderId="59" xfId="0" applyFont="1" applyFill="1" applyBorder="1" applyAlignment="1">
      <alignment horizontal="center"/>
    </xf>
    <xf numFmtId="0" fontId="86" fillId="15" borderId="64" xfId="0" applyFont="1" applyFill="1" applyBorder="1" applyAlignment="1">
      <alignment horizontal="center"/>
    </xf>
    <xf numFmtId="169" fontId="0" fillId="4" borderId="66" xfId="0" applyNumberFormat="1" applyFill="1" applyBorder="1" applyAlignment="1">
      <alignment horizontal="center"/>
    </xf>
    <xf numFmtId="169" fontId="0" fillId="4" borderId="12" xfId="0" applyNumberFormat="1" applyFill="1" applyBorder="1" applyAlignment="1">
      <alignment horizontal="center"/>
    </xf>
    <xf numFmtId="0" fontId="18" fillId="5" borderId="18" xfId="0" applyFont="1" applyFill="1" applyBorder="1" applyAlignment="1">
      <alignment horizontal="center"/>
    </xf>
    <xf numFmtId="0" fontId="14" fillId="0" borderId="18" xfId="0" applyFont="1" applyBorder="1" applyAlignment="1">
      <alignment horizontal="center" vertical="center" wrapText="1"/>
    </xf>
    <xf numFmtId="165" fontId="80" fillId="8" borderId="23" xfId="0" applyNumberFormat="1" applyFont="1" applyFill="1" applyBorder="1" applyAlignment="1">
      <alignment horizontal="center" vertical="center"/>
    </xf>
    <xf numFmtId="0" fontId="3" fillId="23" borderId="23" xfId="0" applyFont="1" applyFill="1" applyBorder="1" applyAlignment="1">
      <alignment horizontal="center" vertical="center" wrapText="1"/>
    </xf>
    <xf numFmtId="0" fontId="3" fillId="23" borderId="20" xfId="0" applyFont="1" applyFill="1" applyBorder="1" applyAlignment="1">
      <alignment horizontal="center" vertical="center" wrapText="1"/>
    </xf>
    <xf numFmtId="0" fontId="26" fillId="19" borderId="23" xfId="0" applyFont="1" applyFill="1" applyBorder="1" applyAlignment="1">
      <alignment horizontal="center" vertical="center" wrapText="1"/>
    </xf>
    <xf numFmtId="0" fontId="26" fillId="19" borderId="32" xfId="0" applyFont="1" applyFill="1" applyBorder="1" applyAlignment="1">
      <alignment horizontal="center" vertical="center" wrapText="1"/>
    </xf>
    <xf numFmtId="0" fontId="68" fillId="5" borderId="18" xfId="0" applyFont="1" applyFill="1" applyBorder="1" applyAlignment="1">
      <alignment horizontal="center" vertical="center" wrapText="1"/>
    </xf>
    <xf numFmtId="0" fontId="68" fillId="5" borderId="20" xfId="0" applyFont="1" applyFill="1" applyBorder="1" applyAlignment="1">
      <alignment horizontal="center" vertical="center" wrapText="1"/>
    </xf>
    <xf numFmtId="0" fontId="68" fillId="25" borderId="47" xfId="0" applyFont="1" applyFill="1" applyBorder="1" applyAlignment="1">
      <alignment horizontal="center" vertical="center" wrapText="1"/>
    </xf>
    <xf numFmtId="0" fontId="68" fillId="25" borderId="48" xfId="0" applyFont="1" applyFill="1" applyBorder="1" applyAlignment="1">
      <alignment horizontal="center" vertical="center" wrapText="1"/>
    </xf>
    <xf numFmtId="0" fontId="68" fillId="25" borderId="49" xfId="0" applyFont="1" applyFill="1" applyBorder="1" applyAlignment="1">
      <alignment horizontal="center" vertical="center" wrapText="1"/>
    </xf>
    <xf numFmtId="0" fontId="140" fillId="38" borderId="17" xfId="0" applyFont="1" applyFill="1" applyBorder="1" applyAlignment="1">
      <alignment horizontal="center" vertical="center"/>
    </xf>
    <xf numFmtId="0" fontId="140" fillId="38" borderId="33" xfId="0" applyFont="1" applyFill="1" applyBorder="1" applyAlignment="1">
      <alignment horizontal="center" vertical="center"/>
    </xf>
    <xf numFmtId="0" fontId="140" fillId="38" borderId="24" xfId="0" applyFont="1" applyFill="1" applyBorder="1" applyAlignment="1">
      <alignment horizontal="center" vertical="center"/>
    </xf>
    <xf numFmtId="0" fontId="130" fillId="17" borderId="17" xfId="0" applyFont="1" applyFill="1" applyBorder="1" applyAlignment="1">
      <alignment horizontal="center" vertical="center"/>
    </xf>
    <xf numFmtId="0" fontId="130" fillId="17" borderId="33" xfId="0" applyFont="1" applyFill="1" applyBorder="1" applyAlignment="1">
      <alignment horizontal="center" vertical="center"/>
    </xf>
    <xf numFmtId="0" fontId="130" fillId="17" borderId="24" xfId="0" applyFont="1" applyFill="1" applyBorder="1" applyAlignment="1">
      <alignment horizontal="center" vertical="center"/>
    </xf>
    <xf numFmtId="0" fontId="131" fillId="4" borderId="0" xfId="0" applyFont="1" applyFill="1" applyAlignment="1">
      <alignment horizontal="center" wrapText="1"/>
    </xf>
    <xf numFmtId="0" fontId="131" fillId="4" borderId="0" xfId="0" applyFont="1" applyFill="1" applyAlignment="1">
      <alignment horizontal="center"/>
    </xf>
    <xf numFmtId="0" fontId="131" fillId="4" borderId="32" xfId="0" applyFont="1" applyFill="1" applyBorder="1" applyAlignment="1">
      <alignment horizontal="center"/>
    </xf>
    <xf numFmtId="0" fontId="59" fillId="17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62" fillId="4" borderId="0" xfId="0" applyFont="1" applyFill="1" applyAlignment="1">
      <alignment horizontal="center" vertical="center"/>
    </xf>
    <xf numFmtId="0" fontId="63" fillId="12" borderId="0" xfId="2" applyFont="1" applyFill="1" applyBorder="1" applyAlignment="1">
      <alignment horizontal="center" wrapText="1"/>
    </xf>
    <xf numFmtId="0" fontId="147" fillId="4" borderId="0" xfId="0" applyFont="1" applyFill="1" applyAlignment="1">
      <alignment horizontal="right" wrapText="1"/>
    </xf>
    <xf numFmtId="0" fontId="64" fillId="12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167" fontId="20" fillId="4" borderId="0" xfId="0" applyNumberFormat="1" applyFont="1" applyFill="1" applyAlignment="1">
      <alignment horizontal="center" vertical="center"/>
    </xf>
    <xf numFmtId="0" fontId="152" fillId="4" borderId="0" xfId="0" applyFont="1" applyFill="1" applyBorder="1" applyAlignment="1">
      <alignment horizontal="right" wrapText="1"/>
    </xf>
    <xf numFmtId="0" fontId="21" fillId="0" borderId="37" xfId="0" applyFont="1" applyBorder="1" applyAlignment="1">
      <alignment horizontal="center" vertical="center"/>
    </xf>
    <xf numFmtId="0" fontId="86" fillId="15" borderId="60" xfId="0" applyFont="1" applyFill="1" applyBorder="1" applyAlignment="1">
      <alignment horizontal="center" wrapText="1"/>
    </xf>
    <xf numFmtId="0" fontId="86" fillId="15" borderId="0" xfId="0" applyFont="1" applyFill="1" applyAlignment="1">
      <alignment horizontal="center" wrapText="1"/>
    </xf>
    <xf numFmtId="0" fontId="86" fillId="15" borderId="11" xfId="0" applyFont="1" applyFill="1" applyBorder="1" applyAlignment="1">
      <alignment horizontal="center" wrapText="1"/>
    </xf>
    <xf numFmtId="0" fontId="21" fillId="0" borderId="27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86" fillId="34" borderId="62" xfId="0" applyFont="1" applyFill="1" applyBorder="1" applyAlignment="1">
      <alignment horizontal="center" wrapText="1"/>
    </xf>
    <xf numFmtId="0" fontId="86" fillId="34" borderId="23" xfId="0" applyFont="1" applyFill="1" applyBorder="1" applyAlignment="1">
      <alignment horizontal="center" wrapText="1"/>
    </xf>
    <xf numFmtId="0" fontId="86" fillId="34" borderId="68" xfId="0" applyFont="1" applyFill="1" applyBorder="1" applyAlignment="1">
      <alignment horizontal="center" wrapText="1"/>
    </xf>
    <xf numFmtId="0" fontId="86" fillId="34" borderId="60" xfId="0" applyFont="1" applyFill="1" applyBorder="1" applyAlignment="1">
      <alignment horizontal="center" wrapText="1"/>
    </xf>
    <xf numFmtId="0" fontId="86" fillId="34" borderId="0" xfId="0" applyFont="1" applyFill="1" applyAlignment="1">
      <alignment horizontal="center" wrapText="1"/>
    </xf>
    <xf numFmtId="0" fontId="86" fillId="34" borderId="11" xfId="0" applyFont="1" applyFill="1" applyBorder="1" applyAlignment="1">
      <alignment horizontal="center" wrapText="1"/>
    </xf>
    <xf numFmtId="0" fontId="86" fillId="32" borderId="60" xfId="0" applyFont="1" applyFill="1" applyBorder="1" applyAlignment="1">
      <alignment horizontal="center" wrapText="1"/>
    </xf>
    <xf numFmtId="0" fontId="86" fillId="32" borderId="0" xfId="0" applyFont="1" applyFill="1" applyAlignment="1">
      <alignment horizontal="center" wrapText="1"/>
    </xf>
    <xf numFmtId="0" fontId="86" fillId="32" borderId="11" xfId="0" applyFont="1" applyFill="1" applyBorder="1" applyAlignment="1">
      <alignment horizontal="center" wrapText="1"/>
    </xf>
    <xf numFmtId="0" fontId="106" fillId="31" borderId="59" xfId="0" applyFont="1" applyFill="1" applyBorder="1" applyAlignment="1">
      <alignment horizontal="center" vertical="center" wrapText="1"/>
    </xf>
    <xf numFmtId="0" fontId="106" fillId="31" borderId="60" xfId="0" applyFont="1" applyFill="1" applyBorder="1" applyAlignment="1">
      <alignment horizontal="center" vertical="center" wrapText="1"/>
    </xf>
    <xf numFmtId="0" fontId="106" fillId="31" borderId="61" xfId="0" applyFont="1" applyFill="1" applyBorder="1" applyAlignment="1">
      <alignment horizontal="center" vertical="center" wrapText="1"/>
    </xf>
    <xf numFmtId="0" fontId="106" fillId="31" borderId="65" xfId="0" applyFont="1" applyFill="1" applyBorder="1" applyAlignment="1">
      <alignment horizontal="center" vertical="center" wrapText="1"/>
    </xf>
    <xf numFmtId="167" fontId="21" fillId="4" borderId="62" xfId="0" applyNumberFormat="1" applyFont="1" applyFill="1" applyBorder="1" applyAlignment="1">
      <alignment horizontal="center" vertical="center"/>
    </xf>
    <xf numFmtId="167" fontId="21" fillId="4" borderId="29" xfId="0" applyNumberFormat="1" applyFont="1" applyFill="1" applyBorder="1" applyAlignment="1">
      <alignment horizontal="center" vertical="center"/>
    </xf>
    <xf numFmtId="0" fontId="82" fillId="18" borderId="61" xfId="0" applyFont="1" applyFill="1" applyBorder="1" applyAlignment="1">
      <alignment horizontal="center" vertical="center" wrapText="1"/>
    </xf>
    <xf numFmtId="0" fontId="82" fillId="18" borderId="34" xfId="0" applyFont="1" applyFill="1" applyBorder="1" applyAlignment="1">
      <alignment horizontal="center" vertical="center" wrapText="1"/>
    </xf>
    <xf numFmtId="0" fontId="100" fillId="0" borderId="63" xfId="0" applyFont="1" applyBorder="1" applyAlignment="1">
      <alignment horizontal="center" wrapText="1"/>
    </xf>
    <xf numFmtId="0" fontId="100" fillId="0" borderId="35" xfId="0" applyFont="1" applyBorder="1" applyAlignment="1">
      <alignment horizontal="center" wrapText="1"/>
    </xf>
    <xf numFmtId="0" fontId="100" fillId="0" borderId="67" xfId="0" applyFont="1" applyBorder="1" applyAlignment="1">
      <alignment horizontal="center" wrapText="1"/>
    </xf>
    <xf numFmtId="0" fontId="98" fillId="15" borderId="63" xfId="0" applyFont="1" applyFill="1" applyBorder="1" applyAlignment="1">
      <alignment horizontal="center" wrapText="1"/>
    </xf>
    <xf numFmtId="0" fontId="98" fillId="15" borderId="35" xfId="0" applyFont="1" applyFill="1" applyBorder="1" applyAlignment="1">
      <alignment horizontal="center" wrapText="1"/>
    </xf>
    <xf numFmtId="0" fontId="98" fillId="15" borderId="67" xfId="0" applyFont="1" applyFill="1" applyBorder="1" applyAlignment="1">
      <alignment horizontal="center" wrapText="1"/>
    </xf>
    <xf numFmtId="0" fontId="21" fillId="0" borderId="52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169" fontId="0" fillId="4" borderId="11" xfId="0" applyNumberFormat="1" applyFill="1" applyBorder="1" applyAlignment="1">
      <alignment horizontal="center"/>
    </xf>
    <xf numFmtId="0" fontId="116" fillId="37" borderId="0" xfId="0" applyFont="1" applyFill="1" applyAlignment="1">
      <alignment horizontal="center" vertical="center" wrapText="1"/>
    </xf>
    <xf numFmtId="0" fontId="85" fillId="19" borderId="18" xfId="0" applyFont="1" applyFill="1" applyBorder="1" applyAlignment="1">
      <alignment horizontal="center" vertical="center" wrapText="1"/>
    </xf>
    <xf numFmtId="0" fontId="85" fillId="19" borderId="21" xfId="0" applyFont="1" applyFill="1" applyBorder="1" applyAlignment="1">
      <alignment horizontal="center" vertical="center" wrapText="1"/>
    </xf>
    <xf numFmtId="0" fontId="85" fillId="19" borderId="20" xfId="0" applyFont="1" applyFill="1" applyBorder="1" applyAlignment="1">
      <alignment horizontal="center" vertical="center" wrapText="1"/>
    </xf>
    <xf numFmtId="0" fontId="68" fillId="5" borderId="29" xfId="0" applyFont="1" applyFill="1" applyBorder="1" applyAlignment="1">
      <alignment horizontal="center" vertical="center" wrapText="1"/>
    </xf>
    <xf numFmtId="0" fontId="68" fillId="5" borderId="58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3" fillId="23" borderId="69" xfId="0" applyFont="1" applyFill="1" applyBorder="1" applyAlignment="1">
      <alignment horizontal="center" vertical="center" wrapText="1"/>
    </xf>
    <xf numFmtId="0" fontId="3" fillId="23" borderId="70" xfId="0" applyFont="1" applyFill="1" applyBorder="1" applyAlignment="1">
      <alignment horizontal="center" vertical="center" wrapText="1"/>
    </xf>
    <xf numFmtId="0" fontId="26" fillId="19" borderId="29" xfId="0" applyFont="1" applyFill="1" applyBorder="1" applyAlignment="1">
      <alignment horizontal="center" vertical="center" wrapText="1"/>
    </xf>
    <xf numFmtId="0" fontId="26" fillId="19" borderId="34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18" fillId="5" borderId="24" xfId="0" applyFont="1" applyFill="1" applyBorder="1" applyAlignment="1">
      <alignment horizontal="center"/>
    </xf>
    <xf numFmtId="0" fontId="98" fillId="35" borderId="60" xfId="0" applyFont="1" applyFill="1" applyBorder="1" applyAlignment="1">
      <alignment horizontal="center" wrapText="1"/>
    </xf>
    <xf numFmtId="0" fontId="98" fillId="35" borderId="64" xfId="0" applyFont="1" applyFill="1" applyBorder="1" applyAlignment="1">
      <alignment horizontal="center" wrapText="1"/>
    </xf>
    <xf numFmtId="0" fontId="98" fillId="35" borderId="0" xfId="0" applyFont="1" applyFill="1" applyAlignment="1">
      <alignment horizontal="center" wrapText="1"/>
    </xf>
    <xf numFmtId="0" fontId="98" fillId="35" borderId="10" xfId="0" applyFont="1" applyFill="1" applyBorder="1" applyAlignment="1">
      <alignment horizontal="center" wrapText="1"/>
    </xf>
    <xf numFmtId="0" fontId="98" fillId="35" borderId="11" xfId="0" applyFont="1" applyFill="1" applyBorder="1" applyAlignment="1">
      <alignment horizontal="center" wrapText="1"/>
    </xf>
    <xf numFmtId="0" fontId="98" fillId="35" borderId="12" xfId="0" applyFont="1" applyFill="1" applyBorder="1" applyAlignment="1">
      <alignment horizontal="center" wrapText="1"/>
    </xf>
    <xf numFmtId="165" fontId="117" fillId="36" borderId="23" xfId="0" applyNumberFormat="1" applyFont="1" applyFill="1" applyBorder="1" applyAlignment="1"/>
    <xf numFmtId="165" fontId="117" fillId="36" borderId="32" xfId="0" applyNumberFormat="1" applyFont="1" applyFill="1" applyBorder="1" applyAlignment="1"/>
    <xf numFmtId="0" fontId="68" fillId="25" borderId="51" xfId="0" applyFont="1" applyFill="1" applyBorder="1" applyAlignment="1">
      <alignment horizontal="center" vertical="center" wrapText="1"/>
    </xf>
    <xf numFmtId="0" fontId="68" fillId="25" borderId="31" xfId="0" applyFont="1" applyFill="1" applyBorder="1" applyAlignment="1">
      <alignment horizontal="center" vertical="center" wrapText="1"/>
    </xf>
    <xf numFmtId="0" fontId="68" fillId="25" borderId="58" xfId="0" applyFont="1" applyFill="1" applyBorder="1" applyAlignment="1">
      <alignment horizontal="center" vertical="center" wrapText="1"/>
    </xf>
    <xf numFmtId="0" fontId="91" fillId="22" borderId="18" xfId="0" applyFont="1" applyFill="1" applyBorder="1" applyAlignment="1">
      <alignment horizontal="center" vertical="center" wrapText="1"/>
    </xf>
    <xf numFmtId="0" fontId="91" fillId="22" borderId="21" xfId="0" applyFont="1" applyFill="1" applyBorder="1" applyAlignment="1">
      <alignment horizontal="center" vertical="center" wrapText="1"/>
    </xf>
    <xf numFmtId="0" fontId="91" fillId="22" borderId="29" xfId="0" applyFont="1" applyFill="1" applyBorder="1" applyAlignment="1">
      <alignment horizontal="center" vertical="center" wrapText="1"/>
    </xf>
    <xf numFmtId="0" fontId="91" fillId="22" borderId="31" xfId="0" applyFont="1" applyFill="1" applyBorder="1" applyAlignment="1">
      <alignment horizontal="center" vertical="center" wrapText="1"/>
    </xf>
    <xf numFmtId="165" fontId="14" fillId="0" borderId="20" xfId="0" applyNumberFormat="1" applyFont="1" applyBorder="1" applyAlignment="1">
      <alignment horizontal="center" vertical="center"/>
    </xf>
    <xf numFmtId="165" fontId="14" fillId="0" borderId="34" xfId="0" applyNumberFormat="1" applyFont="1" applyBorder="1" applyAlignment="1">
      <alignment horizontal="center" vertical="center"/>
    </xf>
    <xf numFmtId="165" fontId="80" fillId="0" borderId="20" xfId="0" applyNumberFormat="1" applyFont="1" applyBorder="1" applyAlignment="1">
      <alignment horizontal="center" vertical="center"/>
    </xf>
    <xf numFmtId="165" fontId="80" fillId="0" borderId="29" xfId="0" applyNumberFormat="1" applyFont="1" applyBorder="1" applyAlignment="1">
      <alignment horizontal="center" vertical="center"/>
    </xf>
    <xf numFmtId="165" fontId="80" fillId="0" borderId="34" xfId="0" applyNumberFormat="1" applyFont="1" applyBorder="1" applyAlignment="1">
      <alignment horizontal="center" vertical="center"/>
    </xf>
    <xf numFmtId="9" fontId="80" fillId="20" borderId="22" xfId="0" applyNumberFormat="1" applyFont="1" applyFill="1" applyBorder="1" applyAlignment="1">
      <alignment horizontal="center" vertical="center"/>
    </xf>
    <xf numFmtId="9" fontId="80" fillId="20" borderId="30" xfId="0" applyNumberFormat="1" applyFont="1" applyFill="1" applyBorder="1" applyAlignment="1">
      <alignment horizontal="center" vertical="center"/>
    </xf>
    <xf numFmtId="165" fontId="77" fillId="26" borderId="20" xfId="0" applyNumberFormat="1" applyFont="1" applyFill="1" applyBorder="1" applyAlignment="1">
      <alignment horizontal="center" vertical="center"/>
    </xf>
    <xf numFmtId="165" fontId="77" fillId="26" borderId="34" xfId="0" applyNumberFormat="1" applyFont="1" applyFill="1" applyBorder="1" applyAlignment="1">
      <alignment horizontal="center" vertical="center"/>
    </xf>
    <xf numFmtId="165" fontId="80" fillId="20" borderId="18" xfId="0" applyNumberFormat="1" applyFont="1" applyFill="1" applyBorder="1" applyAlignment="1">
      <alignment horizontal="center" vertical="center"/>
    </xf>
    <xf numFmtId="165" fontId="80" fillId="20" borderId="29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86" fillId="15" borderId="60" xfId="0" applyFont="1" applyFill="1" applyBorder="1" applyAlignment="1">
      <alignment horizontal="center"/>
    </xf>
    <xf numFmtId="167" fontId="21" fillId="4" borderId="22" xfId="0" applyNumberFormat="1" applyFont="1" applyFill="1" applyBorder="1" applyAlignment="1">
      <alignment horizontal="center" vertical="center"/>
    </xf>
    <xf numFmtId="167" fontId="21" fillId="4" borderId="30" xfId="0" applyNumberFormat="1" applyFont="1" applyFill="1" applyBorder="1" applyAlignment="1">
      <alignment horizontal="center" vertical="center"/>
    </xf>
    <xf numFmtId="0" fontId="82" fillId="18" borderId="18" xfId="0" applyFont="1" applyFill="1" applyBorder="1" applyAlignment="1">
      <alignment horizontal="center" vertical="center" wrapText="1"/>
    </xf>
    <xf numFmtId="0" fontId="82" fillId="18" borderId="23" xfId="0" applyFont="1" applyFill="1" applyBorder="1" applyAlignment="1">
      <alignment horizontal="center" vertical="center" wrapText="1"/>
    </xf>
    <xf numFmtId="0" fontId="126" fillId="15" borderId="21" xfId="0" applyFont="1" applyFill="1" applyBorder="1" applyAlignment="1">
      <alignment horizontal="center" vertical="center" wrapText="1"/>
    </xf>
    <xf numFmtId="0" fontId="126" fillId="15" borderId="0" xfId="0" applyFont="1" applyFill="1" applyAlignment="1">
      <alignment horizontal="center" vertical="center" wrapText="1"/>
    </xf>
    <xf numFmtId="0" fontId="126" fillId="15" borderId="31" xfId="0" applyFont="1" applyFill="1" applyBorder="1" applyAlignment="1">
      <alignment horizontal="center" vertical="center" wrapText="1"/>
    </xf>
    <xf numFmtId="0" fontId="127" fillId="35" borderId="21" xfId="0" applyFont="1" applyFill="1" applyBorder="1" applyAlignment="1">
      <alignment horizontal="center" vertical="center" wrapText="1"/>
    </xf>
    <xf numFmtId="0" fontId="127" fillId="35" borderId="0" xfId="0" applyFont="1" applyFill="1" applyAlignment="1">
      <alignment horizontal="center" vertical="center" wrapText="1"/>
    </xf>
    <xf numFmtId="0" fontId="127" fillId="35" borderId="31" xfId="0" applyFont="1" applyFill="1" applyBorder="1" applyAlignment="1">
      <alignment horizontal="center" vertical="center" wrapText="1"/>
    </xf>
    <xf numFmtId="0" fontId="18" fillId="21" borderId="36" xfId="0" applyFont="1" applyFill="1" applyBorder="1" applyAlignment="1">
      <alignment horizontal="center" vertical="center"/>
    </xf>
    <xf numFmtId="0" fontId="115" fillId="0" borderId="17" xfId="0" applyFont="1" applyBorder="1" applyAlignment="1">
      <alignment horizontal="center"/>
    </xf>
    <xf numFmtId="0" fontId="115" fillId="0" borderId="33" xfId="0" applyFont="1" applyBorder="1" applyAlignment="1">
      <alignment horizontal="center"/>
    </xf>
    <xf numFmtId="0" fontId="115" fillId="0" borderId="24" xfId="0" applyFont="1" applyBorder="1" applyAlignment="1">
      <alignment horizontal="center"/>
    </xf>
    <xf numFmtId="0" fontId="126" fillId="34" borderId="18" xfId="0" applyFont="1" applyFill="1" applyBorder="1" applyAlignment="1">
      <alignment horizontal="center" vertical="center" wrapText="1"/>
    </xf>
    <xf numFmtId="0" fontId="126" fillId="34" borderId="23" xfId="0" applyFont="1" applyFill="1" applyBorder="1" applyAlignment="1">
      <alignment horizontal="center" vertical="center" wrapText="1"/>
    </xf>
    <xf numFmtId="0" fontId="126" fillId="34" borderId="29" xfId="0" applyFont="1" applyFill="1" applyBorder="1" applyAlignment="1">
      <alignment horizontal="center" vertical="center" wrapText="1"/>
    </xf>
    <xf numFmtId="0" fontId="126" fillId="34" borderId="21" xfId="0" applyFont="1" applyFill="1" applyBorder="1" applyAlignment="1">
      <alignment horizontal="center" vertical="center" wrapText="1"/>
    </xf>
    <xf numFmtId="0" fontId="126" fillId="34" borderId="0" xfId="0" applyFont="1" applyFill="1" applyAlignment="1">
      <alignment horizontal="center" vertical="center" wrapText="1"/>
    </xf>
    <xf numFmtId="0" fontId="126" fillId="34" borderId="31" xfId="0" applyFont="1" applyFill="1" applyBorder="1" applyAlignment="1">
      <alignment horizontal="center" vertical="center" wrapText="1"/>
    </xf>
    <xf numFmtId="0" fontId="126" fillId="32" borderId="21" xfId="0" applyFont="1" applyFill="1" applyBorder="1" applyAlignment="1">
      <alignment horizontal="center" vertical="center" wrapText="1"/>
    </xf>
    <xf numFmtId="0" fontId="126" fillId="32" borderId="0" xfId="0" applyFont="1" applyFill="1" applyAlignment="1">
      <alignment horizontal="center" vertical="center" wrapText="1"/>
    </xf>
    <xf numFmtId="0" fontId="126" fillId="32" borderId="31" xfId="0" applyFont="1" applyFill="1" applyBorder="1" applyAlignment="1">
      <alignment horizontal="center" vertical="center" wrapText="1"/>
    </xf>
    <xf numFmtId="0" fontId="83" fillId="28" borderId="20" xfId="0" applyFont="1" applyFill="1" applyBorder="1" applyAlignment="1">
      <alignment horizontal="center" vertical="center" wrapText="1"/>
    </xf>
    <xf numFmtId="0" fontId="83" fillId="28" borderId="32" xfId="0" applyFont="1" applyFill="1" applyBorder="1" applyAlignment="1">
      <alignment horizontal="center" vertical="center" wrapText="1"/>
    </xf>
    <xf numFmtId="0" fontId="100" fillId="0" borderId="22" xfId="0" applyFont="1" applyBorder="1" applyAlignment="1">
      <alignment horizontal="center" wrapText="1"/>
    </xf>
    <xf numFmtId="0" fontId="100" fillId="0" borderId="30" xfId="0" applyFont="1" applyBorder="1" applyAlignment="1">
      <alignment horizontal="center" wrapText="1"/>
    </xf>
    <xf numFmtId="0" fontId="98" fillId="15" borderId="22" xfId="0" applyFont="1" applyFill="1" applyBorder="1" applyAlignment="1">
      <alignment horizontal="center" wrapText="1"/>
    </xf>
    <xf numFmtId="0" fontId="98" fillId="15" borderId="30" xfId="0" applyFont="1" applyFill="1" applyBorder="1" applyAlignment="1">
      <alignment horizontal="center" wrapText="1"/>
    </xf>
    <xf numFmtId="0" fontId="86" fillId="15" borderId="18" xfId="0" applyFont="1" applyFill="1" applyBorder="1" applyAlignment="1">
      <alignment horizontal="center"/>
    </xf>
    <xf numFmtId="0" fontId="86" fillId="15" borderId="21" xfId="0" applyFont="1" applyFill="1" applyBorder="1" applyAlignment="1">
      <alignment horizontal="center"/>
    </xf>
    <xf numFmtId="0" fontId="128" fillId="0" borderId="21" xfId="0" applyFont="1" applyBorder="1" applyAlignment="1">
      <alignment horizontal="center" vertical="center" wrapText="1"/>
    </xf>
    <xf numFmtId="0" fontId="128" fillId="0" borderId="20" xfId="0" applyFont="1" applyBorder="1" applyAlignment="1">
      <alignment horizontal="center" vertical="center" wrapText="1"/>
    </xf>
    <xf numFmtId="0" fontId="128" fillId="0" borderId="31" xfId="0" applyFont="1" applyBorder="1" applyAlignment="1">
      <alignment horizontal="center" vertical="center" wrapText="1"/>
    </xf>
    <xf numFmtId="0" fontId="128" fillId="0" borderId="34" xfId="0" applyFont="1" applyBorder="1" applyAlignment="1">
      <alignment horizontal="center" vertical="center" wrapText="1"/>
    </xf>
    <xf numFmtId="169" fontId="0" fillId="4" borderId="29" xfId="0" applyNumberFormat="1" applyFill="1" applyBorder="1" applyAlignment="1">
      <alignment horizontal="center"/>
    </xf>
    <xf numFmtId="169" fontId="0" fillId="4" borderId="31" xfId="0" applyNumberFormat="1" applyFill="1" applyBorder="1" applyAlignment="1">
      <alignment horizontal="center"/>
    </xf>
    <xf numFmtId="165" fontId="80" fillId="8" borderId="17" xfId="0" applyNumberFormat="1" applyFont="1" applyFill="1" applyBorder="1" applyAlignment="1">
      <alignment horizontal="center" vertical="center"/>
    </xf>
    <xf numFmtId="165" fontId="80" fillId="8" borderId="33" xfId="0" applyNumberFormat="1" applyFont="1" applyFill="1" applyBorder="1" applyAlignment="1">
      <alignment horizontal="center" vertical="center"/>
    </xf>
    <xf numFmtId="165" fontId="80" fillId="8" borderId="24" xfId="0" applyNumberFormat="1" applyFont="1" applyFill="1" applyBorder="1" applyAlignment="1">
      <alignment horizontal="center" vertical="center"/>
    </xf>
    <xf numFmtId="0" fontId="3" fillId="23" borderId="17" xfId="0" applyFont="1" applyFill="1" applyBorder="1" applyAlignment="1">
      <alignment horizontal="center" vertical="center" wrapText="1"/>
    </xf>
    <xf numFmtId="0" fontId="3" fillId="23" borderId="24" xfId="0" applyFont="1" applyFill="1" applyBorder="1" applyAlignment="1">
      <alignment horizontal="center" vertical="center" wrapText="1"/>
    </xf>
    <xf numFmtId="0" fontId="26" fillId="19" borderId="17" xfId="0" applyFont="1" applyFill="1" applyBorder="1" applyAlignment="1">
      <alignment horizontal="center" vertical="center" wrapText="1"/>
    </xf>
    <xf numFmtId="0" fontId="26" fillId="19" borderId="24" xfId="0" applyFont="1" applyFill="1" applyBorder="1" applyAlignment="1">
      <alignment horizontal="center" vertical="center" wrapText="1"/>
    </xf>
    <xf numFmtId="0" fontId="68" fillId="5" borderId="17" xfId="0" applyFont="1" applyFill="1" applyBorder="1" applyAlignment="1">
      <alignment horizontal="center" vertical="center" wrapText="1"/>
    </xf>
    <xf numFmtId="0" fontId="68" fillId="5" borderId="24" xfId="0" applyFont="1" applyFill="1" applyBorder="1" applyAlignment="1">
      <alignment horizontal="center" vertical="center" wrapText="1"/>
    </xf>
    <xf numFmtId="0" fontId="68" fillId="25" borderId="17" xfId="0" applyFont="1" applyFill="1" applyBorder="1" applyAlignment="1">
      <alignment horizontal="center" vertical="center" wrapText="1"/>
    </xf>
    <xf numFmtId="0" fontId="68" fillId="25" borderId="24" xfId="0" applyFont="1" applyFill="1" applyBorder="1" applyAlignment="1">
      <alignment horizontal="center" vertical="center" wrapText="1"/>
    </xf>
    <xf numFmtId="165" fontId="80" fillId="20" borderId="35" xfId="0" applyNumberFormat="1" applyFont="1" applyFill="1" applyBorder="1" applyAlignment="1">
      <alignment horizontal="center" vertical="center"/>
    </xf>
    <xf numFmtId="165" fontId="77" fillId="26" borderId="23" xfId="0" applyNumberFormat="1" applyFont="1" applyFill="1" applyBorder="1" applyAlignment="1">
      <alignment horizontal="center" vertical="center"/>
    </xf>
    <xf numFmtId="165" fontId="77" fillId="26" borderId="32" xfId="0" applyNumberFormat="1" applyFont="1" applyFill="1" applyBorder="1" applyAlignment="1">
      <alignment horizontal="center" vertical="center"/>
    </xf>
    <xf numFmtId="165" fontId="80" fillId="20" borderId="23" xfId="0" applyNumberFormat="1" applyFont="1" applyFill="1" applyBorder="1" applyAlignment="1">
      <alignment horizontal="center" vertical="center"/>
    </xf>
    <xf numFmtId="165" fontId="80" fillId="20" borderId="32" xfId="0" applyNumberFormat="1" applyFont="1" applyFill="1" applyBorder="1" applyAlignment="1">
      <alignment horizontal="center" vertical="center"/>
    </xf>
    <xf numFmtId="0" fontId="85" fillId="19" borderId="59" xfId="0" applyFont="1" applyFill="1" applyBorder="1" applyAlignment="1">
      <alignment horizontal="center" vertical="center" wrapText="1"/>
    </xf>
    <xf numFmtId="0" fontId="85" fillId="19" borderId="60" xfId="0" applyFont="1" applyFill="1" applyBorder="1" applyAlignment="1">
      <alignment horizontal="center" vertical="center" wrapText="1"/>
    </xf>
    <xf numFmtId="0" fontId="85" fillId="19" borderId="64" xfId="0" applyFont="1" applyFill="1" applyBorder="1" applyAlignment="1">
      <alignment horizontal="center" vertical="center" wrapText="1"/>
    </xf>
    <xf numFmtId="0" fontId="85" fillId="19" borderId="66" xfId="0" applyFont="1" applyFill="1" applyBorder="1" applyAlignment="1">
      <alignment horizontal="center" vertical="center" wrapText="1"/>
    </xf>
    <xf numFmtId="0" fontId="85" fillId="19" borderId="11" xfId="0" applyFont="1" applyFill="1" applyBorder="1" applyAlignment="1">
      <alignment horizontal="center" vertical="center" wrapText="1"/>
    </xf>
    <xf numFmtId="0" fontId="85" fillId="19" borderId="12" xfId="0" applyFont="1" applyFill="1" applyBorder="1" applyAlignment="1">
      <alignment horizontal="center" vertical="center" wrapText="1"/>
    </xf>
    <xf numFmtId="0" fontId="77" fillId="13" borderId="18" xfId="0" applyFont="1" applyFill="1" applyBorder="1" applyAlignment="1">
      <alignment horizontal="center" vertical="center" wrapText="1"/>
    </xf>
    <xf numFmtId="0" fontId="77" fillId="13" borderId="21" xfId="0" applyFont="1" applyFill="1" applyBorder="1" applyAlignment="1">
      <alignment horizontal="center" vertical="center" wrapText="1"/>
    </xf>
    <xf numFmtId="0" fontId="77" fillId="13" borderId="20" xfId="0" applyFont="1" applyFill="1" applyBorder="1" applyAlignment="1">
      <alignment horizontal="center" vertical="center" wrapText="1"/>
    </xf>
    <xf numFmtId="0" fontId="77" fillId="13" borderId="23" xfId="0" applyFont="1" applyFill="1" applyBorder="1" applyAlignment="1">
      <alignment horizontal="center" vertical="center" wrapText="1"/>
    </xf>
    <xf numFmtId="0" fontId="77" fillId="13" borderId="0" xfId="0" applyFont="1" applyFill="1" applyAlignment="1">
      <alignment horizontal="center" vertical="center" wrapText="1"/>
    </xf>
    <xf numFmtId="0" fontId="77" fillId="13" borderId="32" xfId="0" applyFont="1" applyFill="1" applyBorder="1" applyAlignment="1">
      <alignment horizontal="center" vertical="center" wrapText="1"/>
    </xf>
    <xf numFmtId="165" fontId="26" fillId="0" borderId="18" xfId="0" applyNumberFormat="1" applyFont="1" applyBorder="1" applyAlignment="1">
      <alignment horizontal="center" vertical="center"/>
    </xf>
    <xf numFmtId="165" fontId="26" fillId="0" borderId="23" xfId="0" applyNumberFormat="1" applyFont="1" applyBorder="1" applyAlignment="1">
      <alignment horizontal="center" vertical="center"/>
    </xf>
    <xf numFmtId="165" fontId="26" fillId="0" borderId="21" xfId="0" applyNumberFormat="1" applyFont="1" applyBorder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65" fontId="26" fillId="0" borderId="20" xfId="0" applyNumberFormat="1" applyFont="1" applyBorder="1" applyAlignment="1">
      <alignment horizontal="center" vertical="center"/>
    </xf>
    <xf numFmtId="165" fontId="26" fillId="0" borderId="32" xfId="0" applyNumberFormat="1" applyFont="1" applyBorder="1" applyAlignment="1">
      <alignment horizontal="center" vertical="center"/>
    </xf>
    <xf numFmtId="165" fontId="80" fillId="0" borderId="23" xfId="0" applyNumberFormat="1" applyFont="1" applyBorder="1" applyAlignment="1">
      <alignment horizontal="center" vertical="center"/>
    </xf>
    <xf numFmtId="165" fontId="80" fillId="0" borderId="32" xfId="0" applyNumberFormat="1" applyFont="1" applyBorder="1" applyAlignment="1">
      <alignment horizontal="center" vertical="center"/>
    </xf>
    <xf numFmtId="0" fontId="136" fillId="38" borderId="17" xfId="0" applyFont="1" applyFill="1" applyBorder="1" applyAlignment="1">
      <alignment horizontal="center" vertical="center"/>
    </xf>
    <xf numFmtId="0" fontId="116" fillId="4" borderId="0" xfId="0" applyFont="1" applyFill="1" applyAlignment="1">
      <alignment horizontal="center" vertical="center" wrapText="1"/>
    </xf>
    <xf numFmtId="165" fontId="80" fillId="20" borderId="0" xfId="0" applyNumberFormat="1" applyFont="1" applyFill="1" applyAlignment="1">
      <alignment horizontal="center" vertical="center"/>
    </xf>
    <xf numFmtId="0" fontId="151" fillId="17" borderId="17" xfId="0" applyFont="1" applyFill="1" applyBorder="1" applyAlignment="1">
      <alignment horizontal="center" vertical="center"/>
    </xf>
    <xf numFmtId="0" fontId="151" fillId="17" borderId="33" xfId="0" applyFont="1" applyFill="1" applyBorder="1" applyAlignment="1">
      <alignment horizontal="center" vertical="center"/>
    </xf>
    <xf numFmtId="0" fontId="151" fillId="17" borderId="24" xfId="0" applyFont="1" applyFill="1" applyBorder="1" applyAlignment="1">
      <alignment horizontal="center" vertical="center"/>
    </xf>
    <xf numFmtId="0" fontId="111" fillId="0" borderId="21" xfId="0" applyFont="1" applyBorder="1" applyAlignment="1">
      <alignment horizontal="center" vertical="center" wrapText="1"/>
    </xf>
    <xf numFmtId="0" fontId="111" fillId="0" borderId="20" xfId="0" applyFont="1" applyBorder="1" applyAlignment="1">
      <alignment horizontal="center" vertical="center" wrapText="1"/>
    </xf>
    <xf numFmtId="0" fontId="111" fillId="0" borderId="31" xfId="0" applyFont="1" applyBorder="1" applyAlignment="1">
      <alignment horizontal="center" vertical="center" wrapText="1"/>
    </xf>
    <xf numFmtId="0" fontId="111" fillId="0" borderId="34" xfId="0" applyFont="1" applyBorder="1" applyAlignment="1">
      <alignment horizontal="center" vertical="center" wrapText="1"/>
    </xf>
    <xf numFmtId="0" fontId="26" fillId="19" borderId="18" xfId="0" applyFont="1" applyFill="1" applyBorder="1" applyAlignment="1">
      <alignment horizontal="center" vertical="center" wrapText="1"/>
    </xf>
    <xf numFmtId="0" fontId="26" fillId="19" borderId="21" xfId="0" applyFont="1" applyFill="1" applyBorder="1" applyAlignment="1">
      <alignment horizontal="center" vertical="center" wrapText="1"/>
    </xf>
    <xf numFmtId="0" fontId="68" fillId="5" borderId="21" xfId="0" applyFont="1" applyFill="1" applyBorder="1" applyAlignment="1">
      <alignment horizontal="center" vertical="center" wrapText="1"/>
    </xf>
    <xf numFmtId="0" fontId="86" fillId="15" borderId="0" xfId="0" applyFont="1" applyFill="1" applyBorder="1" applyAlignment="1">
      <alignment horizontal="center" vertical="center" wrapText="1"/>
    </xf>
    <xf numFmtId="0" fontId="98" fillId="35" borderId="0" xfId="0" applyFont="1" applyFill="1" applyBorder="1" applyAlignment="1">
      <alignment horizontal="center" vertical="center" wrapText="1"/>
    </xf>
    <xf numFmtId="0" fontId="153" fillId="4" borderId="0" xfId="0" applyFont="1" applyFill="1" applyAlignment="1">
      <alignment horizontal="center" vertical="center"/>
    </xf>
    <xf numFmtId="0" fontId="147" fillId="4" borderId="0" xfId="0" applyFont="1" applyFill="1" applyAlignment="1">
      <alignment horizontal="center" wrapText="1"/>
    </xf>
    <xf numFmtId="0" fontId="63" fillId="12" borderId="9" xfId="2" applyFont="1" applyFill="1" applyBorder="1" applyAlignment="1">
      <alignment horizontal="center" wrapText="1"/>
    </xf>
    <xf numFmtId="0" fontId="117" fillId="36" borderId="32" xfId="0" applyFont="1" applyFill="1" applyBorder="1" applyAlignment="1"/>
    <xf numFmtId="0" fontId="14" fillId="5" borderId="56" xfId="0" applyFont="1" applyFill="1" applyBorder="1" applyAlignment="1">
      <alignment horizontal="center"/>
    </xf>
    <xf numFmtId="0" fontId="82" fillId="18" borderId="31" xfId="0" applyFont="1" applyFill="1" applyBorder="1" applyAlignment="1">
      <alignment horizontal="center" vertical="center" wrapText="1"/>
    </xf>
    <xf numFmtId="0" fontId="100" fillId="0" borderId="22" xfId="0" applyFont="1" applyBorder="1" applyAlignment="1">
      <alignment horizontal="center" vertical="center" wrapText="1"/>
    </xf>
    <xf numFmtId="0" fontId="100" fillId="0" borderId="35" xfId="0" applyFont="1" applyBorder="1" applyAlignment="1">
      <alignment horizontal="center" vertical="center" wrapText="1"/>
    </xf>
    <xf numFmtId="0" fontId="100" fillId="0" borderId="30" xfId="0" applyFont="1" applyBorder="1" applyAlignment="1">
      <alignment horizontal="center" vertical="center" wrapText="1"/>
    </xf>
    <xf numFmtId="0" fontId="86" fillId="34" borderId="0" xfId="0" applyFont="1" applyFill="1" applyBorder="1" applyAlignment="1">
      <alignment horizontal="center" vertical="center" wrapText="1"/>
    </xf>
    <xf numFmtId="0" fontId="86" fillId="32" borderId="0" xfId="0" applyFont="1" applyFill="1" applyBorder="1" applyAlignment="1">
      <alignment horizontal="center" vertical="center" wrapText="1"/>
    </xf>
    <xf numFmtId="0" fontId="76" fillId="0" borderId="18" xfId="0" applyFont="1" applyBorder="1" applyAlignment="1">
      <alignment horizontal="right"/>
    </xf>
    <xf numFmtId="0" fontId="86" fillId="15" borderId="29" xfId="0" applyFont="1" applyFill="1" applyBorder="1" applyAlignment="1">
      <alignment horizontal="center"/>
    </xf>
    <xf numFmtId="0" fontId="86" fillId="15" borderId="20" xfId="0" applyFont="1" applyFill="1" applyBorder="1" applyAlignment="1">
      <alignment horizontal="center"/>
    </xf>
    <xf numFmtId="169" fontId="0" fillId="4" borderId="34" xfId="0" applyNumberFormat="1" applyFill="1" applyBorder="1" applyAlignment="1">
      <alignment horizontal="center"/>
    </xf>
    <xf numFmtId="0" fontId="3" fillId="23" borderId="32" xfId="0" applyFont="1" applyFill="1" applyBorder="1" applyAlignment="1">
      <alignment horizontal="center" vertical="center" wrapText="1"/>
    </xf>
    <xf numFmtId="0" fontId="68" fillId="5" borderId="23" xfId="0" applyFont="1" applyFill="1" applyBorder="1" applyAlignment="1">
      <alignment horizontal="center" vertical="center" wrapText="1"/>
    </xf>
    <xf numFmtId="0" fontId="68" fillId="5" borderId="32" xfId="0" applyFont="1" applyFill="1" applyBorder="1" applyAlignment="1">
      <alignment horizontal="center" vertical="center" wrapText="1"/>
    </xf>
    <xf numFmtId="0" fontId="68" fillId="25" borderId="46" xfId="0" applyFont="1" applyFill="1" applyBorder="1" applyAlignment="1">
      <alignment horizontal="center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53" xfId="0" applyFont="1" applyFill="1" applyBorder="1" applyAlignment="1">
      <alignment horizontal="center" vertical="center" wrapText="1"/>
    </xf>
    <xf numFmtId="0" fontId="77" fillId="13" borderId="22" xfId="0" applyFont="1" applyFill="1" applyBorder="1" applyAlignment="1">
      <alignment horizontal="center" vertical="center" wrapText="1"/>
    </xf>
    <xf numFmtId="0" fontId="77" fillId="13" borderId="17" xfId="0" applyFont="1" applyFill="1" applyBorder="1" applyAlignment="1">
      <alignment horizontal="center" vertical="center" wrapText="1"/>
    </xf>
    <xf numFmtId="0" fontId="77" fillId="13" borderId="19" xfId="0" applyFont="1" applyFill="1" applyBorder="1" applyAlignment="1">
      <alignment horizontal="center" vertical="center" wrapText="1"/>
    </xf>
    <xf numFmtId="0" fontId="82" fillId="18" borderId="0" xfId="0" applyFont="1" applyFill="1" applyBorder="1" applyAlignment="1">
      <alignment horizontal="center" vertical="center" wrapText="1"/>
    </xf>
    <xf numFmtId="0" fontId="83" fillId="27" borderId="0" xfId="0" applyFont="1" applyFill="1" applyBorder="1" applyAlignment="1">
      <alignment horizontal="center" vertical="center" wrapText="1"/>
    </xf>
    <xf numFmtId="0" fontId="83" fillId="28" borderId="21" xfId="0" applyFont="1" applyFill="1" applyBorder="1" applyAlignment="1">
      <alignment horizontal="center" vertical="center" wrapText="1"/>
    </xf>
    <xf numFmtId="0" fontId="83" fillId="28" borderId="0" xfId="0" applyFont="1" applyFill="1" applyBorder="1" applyAlignment="1">
      <alignment horizontal="center" vertical="center" wrapText="1"/>
    </xf>
    <xf numFmtId="0" fontId="115" fillId="0" borderId="29" xfId="0" applyFont="1" applyBorder="1" applyAlignment="1">
      <alignment horizontal="center"/>
    </xf>
    <xf numFmtId="0" fontId="115" fillId="0" borderId="31" xfId="0" applyFont="1" applyBorder="1" applyAlignment="1">
      <alignment horizontal="center"/>
    </xf>
    <xf numFmtId="0" fontId="115" fillId="0" borderId="34" xfId="0" applyFont="1" applyBorder="1" applyAlignment="1">
      <alignment horizontal="center"/>
    </xf>
    <xf numFmtId="165" fontId="26" fillId="0" borderId="33" xfId="0" applyNumberFormat="1" applyFont="1" applyBorder="1" applyAlignment="1">
      <alignment horizontal="center" vertical="center"/>
    </xf>
    <xf numFmtId="0" fontId="70" fillId="4" borderId="4" xfId="0" applyFont="1" applyFill="1" applyBorder="1" applyAlignment="1">
      <alignment horizontal="center" vertical="center" wrapText="1" shrinkToFit="1"/>
    </xf>
    <xf numFmtId="0" fontId="52" fillId="9" borderId="6" xfId="5" applyFont="1" applyBorder="1" applyAlignment="1">
      <alignment horizontal="center" wrapText="1"/>
    </xf>
    <xf numFmtId="0" fontId="52" fillId="9" borderId="7" xfId="5" applyFont="1" applyBorder="1" applyAlignment="1">
      <alignment horizontal="center" wrapText="1"/>
    </xf>
    <xf numFmtId="0" fontId="52" fillId="0" borderId="0" xfId="5" applyFont="1" applyFill="1" applyBorder="1" applyAlignment="1">
      <alignment horizontal="center" wrapText="1"/>
    </xf>
    <xf numFmtId="0" fontId="0" fillId="4" borderId="0" xfId="0" applyFill="1" applyAlignment="1"/>
    <xf numFmtId="0" fontId="0" fillId="4" borderId="31" xfId="0" applyFill="1" applyBorder="1" applyAlignment="1"/>
    <xf numFmtId="0" fontId="18" fillId="5" borderId="23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0" fillId="4" borderId="78" xfId="0" applyFill="1" applyBorder="1" applyAlignment="1">
      <alignment horizontal="center"/>
    </xf>
    <xf numFmtId="0" fontId="0" fillId="4" borderId="79" xfId="0" applyFill="1" applyBorder="1" applyAlignment="1">
      <alignment horizontal="center"/>
    </xf>
    <xf numFmtId="0" fontId="0" fillId="4" borderId="80" xfId="0" applyFill="1" applyBorder="1" applyAlignment="1">
      <alignment horizontal="center"/>
    </xf>
    <xf numFmtId="165" fontId="72" fillId="0" borderId="22" xfId="0" applyNumberFormat="1" applyFont="1" applyBorder="1" applyAlignment="1">
      <alignment horizontal="center" vertical="center"/>
    </xf>
    <xf numFmtId="9" fontId="159" fillId="39" borderId="8" xfId="0" applyNumberFormat="1" applyFont="1" applyFill="1" applyBorder="1" applyAlignment="1">
      <alignment horizontal="center"/>
    </xf>
  </cellXfs>
  <cellStyles count="10">
    <cellStyle name="60% - Colore 6" xfId="7" builtinId="52"/>
    <cellStyle name="Calcolo" xfId="9" builtinId="22"/>
    <cellStyle name="Cella da controllare" xfId="5" builtinId="23"/>
    <cellStyle name="Colore 4" xfId="6" builtinId="41"/>
    <cellStyle name="Input" xfId="2" builtinId="20"/>
    <cellStyle name="Migliaia" xfId="8" builtinId="3"/>
    <cellStyle name="Normale" xfId="0" builtinId="0"/>
    <cellStyle name="Output" xfId="4" builtinId="21"/>
    <cellStyle name="Percentuale" xfId="3" builtinId="5"/>
    <cellStyle name="Valuta" xfId="1" builtinId="4"/>
  </cellStyles>
  <dxfs count="4"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122</xdr:row>
      <xdr:rowOff>257175</xdr:rowOff>
    </xdr:from>
    <xdr:to>
      <xdr:col>7</xdr:col>
      <xdr:colOff>619125</xdr:colOff>
      <xdr:row>125</xdr:row>
      <xdr:rowOff>114300</xdr:rowOff>
    </xdr:to>
    <xdr:sp macro="" textlink="">
      <xdr:nvSpPr>
        <xdr:cNvPr id="2" name="Freccia GIÙ 1">
          <a:extLst>
            <a:ext uri="{FF2B5EF4-FFF2-40B4-BE49-F238E27FC236}">
              <a16:creationId xmlns:a16="http://schemas.microsoft.com/office/drawing/2014/main" xmlns="" id="{E4CBE9A0-37C4-432E-8E2E-6B2013CEDB94}"/>
            </a:ext>
            <a:ext uri="{147F2762-F138-4A5C-976F-8EAC2B608ADB}">
              <a16:predDERef xmlns:a16="http://schemas.microsoft.com/office/drawing/2014/main" xmlns="" pred="{13990A31-C568-41CC-BF59-C24A3900DAB8}"/>
            </a:ext>
          </a:extLst>
        </xdr:cNvPr>
        <xdr:cNvSpPr/>
      </xdr:nvSpPr>
      <xdr:spPr>
        <a:xfrm>
          <a:off x="11601450" y="31280100"/>
          <a:ext cx="304800" cy="6572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5"/>
  <sheetViews>
    <sheetView workbookViewId="0">
      <selection activeCell="L28" sqref="L28"/>
    </sheetView>
  </sheetViews>
  <sheetFormatPr defaultRowHeight="21" customHeight="1"/>
  <cols>
    <col min="1" max="1" width="11.125" customWidth="1"/>
    <col min="2" max="2" width="15.25" customWidth="1"/>
    <col min="3" max="3" width="61" bestFit="1" customWidth="1"/>
    <col min="4" max="4" width="12.875" bestFit="1" customWidth="1"/>
    <col min="5" max="5" width="5.625" customWidth="1"/>
    <col min="6" max="6" width="46.875" customWidth="1"/>
    <col min="7" max="7" width="16.625" customWidth="1"/>
    <col min="8" max="8" width="14.25" customWidth="1"/>
    <col min="9" max="9" width="11.75" customWidth="1"/>
    <col min="10" max="10" width="10.75" bestFit="1" customWidth="1"/>
    <col min="12" max="12" width="18.875" customWidth="1"/>
    <col min="13" max="13" width="9.875" customWidth="1"/>
  </cols>
  <sheetData>
    <row r="1" spans="1:45" ht="27.75" customHeight="1">
      <c r="A1" s="1"/>
      <c r="B1" s="295"/>
      <c r="C1" s="353" t="s">
        <v>0</v>
      </c>
      <c r="D1" s="353"/>
      <c r="E1" s="353"/>
      <c r="F1" s="353"/>
      <c r="G1" s="353"/>
      <c r="H1" s="35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21.75" customHeight="1">
      <c r="A2" s="1"/>
      <c r="B2" s="295"/>
      <c r="C2" s="2" t="s">
        <v>1</v>
      </c>
      <c r="D2" s="2"/>
      <c r="E2" s="3"/>
      <c r="F2" s="4" t="s">
        <v>2</v>
      </c>
      <c r="G2" s="5" t="s">
        <v>3</v>
      </c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14.25" customHeight="1">
      <c r="A3" s="1"/>
      <c r="B3" s="295"/>
      <c r="C3" s="7" t="s">
        <v>4</v>
      </c>
      <c r="D3" s="8">
        <v>4.1500000000000004</v>
      </c>
      <c r="E3" s="295"/>
      <c r="F3" s="9" t="s">
        <v>5</v>
      </c>
      <c r="G3" s="10">
        <v>5.6</v>
      </c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14.25" customHeight="1">
      <c r="A4" s="1"/>
      <c r="B4" s="295"/>
      <c r="C4" s="7" t="s">
        <v>6</v>
      </c>
      <c r="D4" s="8">
        <v>11</v>
      </c>
      <c r="E4" s="295"/>
      <c r="F4" s="9" t="s">
        <v>7</v>
      </c>
      <c r="G4" s="12">
        <f>D5*(((D6-D11)/D5)-1)/(G3-1)</f>
        <v>12.194021739130436</v>
      </c>
      <c r="H4" s="1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14.25" customHeight="1">
      <c r="A5" s="358" t="s">
        <v>8</v>
      </c>
      <c r="B5" s="358"/>
      <c r="C5" s="7" t="s">
        <v>9</v>
      </c>
      <c r="D5" s="69">
        <f>CEILING((G10)/(D4-D3),0.5)</f>
        <v>9</v>
      </c>
      <c r="E5" s="295"/>
      <c r="F5" s="13" t="s">
        <v>10</v>
      </c>
      <c r="G5" s="14">
        <f>G4*(1-D9)</f>
        <v>11.584320652173913</v>
      </c>
      <c r="H5" s="1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14.25" customHeight="1">
      <c r="A6" s="1"/>
      <c r="B6" s="295"/>
      <c r="C6" s="7" t="s">
        <v>11</v>
      </c>
      <c r="D6" s="16">
        <f>(D5*D4)</f>
        <v>99</v>
      </c>
      <c r="E6" s="295"/>
      <c r="F6" s="17" t="s">
        <v>12</v>
      </c>
      <c r="G6" s="18">
        <f>G4*(G3-1)</f>
        <v>56.092500000000001</v>
      </c>
      <c r="H6" s="1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14.25" customHeight="1">
      <c r="A7" s="1"/>
      <c r="B7" s="295"/>
      <c r="C7" s="19" t="s">
        <v>13</v>
      </c>
      <c r="D7" s="20">
        <f>D5*D3</f>
        <v>37.35</v>
      </c>
      <c r="E7" s="295"/>
      <c r="F7" s="1"/>
      <c r="G7" s="295"/>
      <c r="H7" s="29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14.25" customHeight="1">
      <c r="A8" s="1"/>
      <c r="B8" s="295"/>
      <c r="C8" s="17" t="s">
        <v>14</v>
      </c>
      <c r="D8" s="21">
        <f>D6-D7</f>
        <v>61.65</v>
      </c>
      <c r="E8" s="295"/>
      <c r="F8" s="22" t="s">
        <v>15</v>
      </c>
      <c r="G8" s="23">
        <f>D5*D4-G6-D5</f>
        <v>33.907499999999999</v>
      </c>
      <c r="H8" s="2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ht="14.25" customHeight="1">
      <c r="A9" s="1"/>
      <c r="B9" s="295"/>
      <c r="C9" s="9" t="s">
        <v>16</v>
      </c>
      <c r="D9" s="25">
        <v>0.05</v>
      </c>
      <c r="E9" s="295"/>
      <c r="F9" s="17" t="s">
        <v>17</v>
      </c>
      <c r="G9" s="26">
        <f>G5-D5</f>
        <v>2.584320652173913</v>
      </c>
      <c r="H9" s="2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14.25" customHeight="1">
      <c r="A10" s="1"/>
      <c r="B10" s="295"/>
      <c r="C10" s="28" t="s">
        <v>18</v>
      </c>
      <c r="D10" s="29">
        <v>0.45</v>
      </c>
      <c r="E10" s="295"/>
      <c r="F10" s="30" t="s">
        <v>19</v>
      </c>
      <c r="G10" s="51">
        <v>60</v>
      </c>
      <c r="H10" s="70" t="s">
        <v>20</v>
      </c>
      <c r="I10" s="70"/>
      <c r="J10" s="7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ht="18">
      <c r="A11" s="1"/>
      <c r="B11" s="295"/>
      <c r="C11" s="31" t="s">
        <v>21</v>
      </c>
      <c r="D11" s="21">
        <f>D8*(1-D10)</f>
        <v>33.907499999999999</v>
      </c>
      <c r="E11" s="295"/>
      <c r="F11" s="32"/>
      <c r="G11" s="3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30.75" customHeight="1">
      <c r="A12" s="1"/>
      <c r="B12" s="295"/>
      <c r="C12" s="354" t="s">
        <v>22</v>
      </c>
      <c r="D12" s="354"/>
      <c r="E12" s="354"/>
      <c r="F12" s="354"/>
      <c r="G12" s="354"/>
      <c r="H12" s="35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15" customHeight="1">
      <c r="A13" s="1"/>
      <c r="B13" s="295"/>
      <c r="C13" s="34"/>
      <c r="D13" s="34"/>
      <c r="E13" s="1"/>
      <c r="F13" s="35"/>
      <c r="G13" s="35"/>
      <c r="H13" s="3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13.5" customHeight="1">
      <c r="A14" s="1"/>
      <c r="B14" s="295"/>
      <c r="C14" s="7" t="s">
        <v>4</v>
      </c>
      <c r="D14" s="8">
        <v>6.15</v>
      </c>
      <c r="E14" s="1"/>
      <c r="F14" s="9" t="s">
        <v>5</v>
      </c>
      <c r="G14" s="8">
        <v>8.11</v>
      </c>
      <c r="H14" s="37"/>
      <c r="I14" s="38"/>
      <c r="J14" s="38"/>
      <c r="K14" s="39"/>
      <c r="L14" s="4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3.5" customHeight="1">
      <c r="A15" s="1"/>
      <c r="B15" s="295"/>
      <c r="C15" s="7" t="s">
        <v>9</v>
      </c>
      <c r="D15" s="8">
        <v>15</v>
      </c>
      <c r="E15" s="1"/>
      <c r="F15" s="9" t="s">
        <v>7</v>
      </c>
      <c r="G15" s="41">
        <f>D21/(G14-D19)</f>
        <v>9.9194048357098588</v>
      </c>
      <c r="H15" s="36"/>
      <c r="I15" s="4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13.5" customHeight="1">
      <c r="A16" s="1"/>
      <c r="B16" s="295"/>
      <c r="C16" s="19"/>
      <c r="D16" s="43"/>
      <c r="E16" s="1"/>
      <c r="F16" s="44" t="s">
        <v>10</v>
      </c>
      <c r="G16" s="45">
        <f>G15*(1-D19)</f>
        <v>9.4730316181029153</v>
      </c>
      <c r="H16" s="3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58" ht="15" customHeight="1">
      <c r="A17" s="1"/>
      <c r="B17" s="295"/>
      <c r="C17" s="19" t="s">
        <v>23</v>
      </c>
      <c r="D17" s="43">
        <f>IF(D15*D14&gt;150,150,D15*D14)</f>
        <v>92.25</v>
      </c>
      <c r="E17" s="1"/>
      <c r="F17" s="17" t="s">
        <v>12</v>
      </c>
      <c r="G17" s="46">
        <f>(G15*(G14-1))</f>
        <v>70.526968381897092</v>
      </c>
      <c r="H17" s="36"/>
      <c r="I17" s="1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13.5" customHeight="1">
      <c r="A18" s="1"/>
      <c r="B18" s="295"/>
      <c r="C18" s="9" t="s">
        <v>24</v>
      </c>
      <c r="D18" s="47"/>
      <c r="E18" s="1"/>
      <c r="F18" s="48"/>
      <c r="G18" s="48"/>
      <c r="H18" s="3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ht="21" customHeight="1">
      <c r="A19" s="1"/>
      <c r="B19" s="295"/>
      <c r="C19" s="9" t="s">
        <v>16</v>
      </c>
      <c r="D19" s="25">
        <v>4.4999999999999998E-2</v>
      </c>
      <c r="E19" s="1"/>
      <c r="F19" s="17" t="s">
        <v>25</v>
      </c>
      <c r="G19" s="49">
        <f>IF(G21="WIN",D17,IF(G21="LOSE",0))</f>
        <v>0</v>
      </c>
      <c r="H19" s="3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ht="18">
      <c r="A20" s="1"/>
      <c r="B20" s="295"/>
      <c r="C20" s="50" t="s">
        <v>26</v>
      </c>
      <c r="D20" s="51">
        <v>80</v>
      </c>
      <c r="E20" s="1"/>
      <c r="F20" s="17" t="s">
        <v>17</v>
      </c>
      <c r="G20" s="52">
        <f>IF(G21="WIN",-G17,IF(G21="LOSE",G16))</f>
        <v>9.4730316181029153</v>
      </c>
      <c r="H20" s="3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ht="18">
      <c r="A21" s="1"/>
      <c r="B21" s="295"/>
      <c r="C21" s="50" t="s">
        <v>27</v>
      </c>
      <c r="D21" s="21">
        <f>IF(D17&lt;150,D20,150)</f>
        <v>80</v>
      </c>
      <c r="E21" s="1"/>
      <c r="F21" s="17" t="s">
        <v>28</v>
      </c>
      <c r="G21" s="53" t="s">
        <v>29</v>
      </c>
      <c r="H21" s="3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ht="12.75" customHeight="1">
      <c r="A22" s="1"/>
      <c r="B22" s="295"/>
      <c r="C22" s="50"/>
      <c r="D22" s="21"/>
      <c r="E22" s="1"/>
      <c r="F22" s="17"/>
      <c r="G22" s="52"/>
      <c r="H22" s="3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ht="21" customHeight="1">
      <c r="A23" s="1"/>
      <c r="B23" s="295"/>
      <c r="C23" s="352" t="s">
        <v>30</v>
      </c>
      <c r="D23" s="352"/>
      <c r="E23" s="352"/>
      <c r="F23" s="352"/>
      <c r="G23" s="352"/>
      <c r="H23" s="35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20.25">
      <c r="A24" s="1"/>
      <c r="B24" s="295"/>
      <c r="C24" s="355" t="s">
        <v>31</v>
      </c>
      <c r="D24" s="355"/>
      <c r="E24" s="355"/>
      <c r="F24" s="355"/>
      <c r="G24" s="355"/>
      <c r="H24" s="35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ht="9" customHeight="1">
      <c r="A25" s="1"/>
      <c r="B25" s="356"/>
      <c r="C25" s="356"/>
      <c r="D25" s="356"/>
      <c r="E25" s="356"/>
      <c r="F25" s="356"/>
      <c r="G25" s="356"/>
      <c r="H25" s="356"/>
      <c r="I25" s="35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ht="21" customHeight="1">
      <c r="A26" s="1"/>
      <c r="B26" s="295"/>
      <c r="C26" s="357" t="s">
        <v>32</v>
      </c>
      <c r="D26" s="357"/>
      <c r="E26" s="357"/>
      <c r="F26" s="357"/>
      <c r="G26" s="357"/>
      <c r="H26" s="35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ht="21" customHeight="1">
      <c r="A27" s="1"/>
      <c r="B27" s="295"/>
      <c r="C27" s="2" t="s">
        <v>1</v>
      </c>
      <c r="D27" s="2"/>
      <c r="E27" s="3"/>
      <c r="F27" s="359" t="s">
        <v>2</v>
      </c>
      <c r="G27" s="359"/>
      <c r="H27" s="35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21" customHeight="1">
      <c r="A28" s="1"/>
      <c r="B28" s="295"/>
      <c r="C28" s="54" t="s">
        <v>33</v>
      </c>
      <c r="D28" s="55">
        <f>D7-D5</f>
        <v>28.35</v>
      </c>
      <c r="E28" s="56"/>
      <c r="F28" s="360" t="s">
        <v>34</v>
      </c>
      <c r="G28" s="360"/>
      <c r="H28" s="57">
        <f>-G6</f>
        <v>-56.092500000000001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ht="21" customHeight="1">
      <c r="A29" s="1"/>
      <c r="B29" s="295"/>
      <c r="C29" s="58" t="s">
        <v>35</v>
      </c>
      <c r="D29" s="55">
        <f>G19</f>
        <v>0</v>
      </c>
      <c r="E29" s="56"/>
      <c r="F29" s="58" t="s">
        <v>36</v>
      </c>
      <c r="G29" s="293"/>
      <c r="H29" s="57">
        <f>G20</f>
        <v>9.4730316181029153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ht="20.25">
      <c r="A30" s="1"/>
      <c r="B30" s="295"/>
      <c r="C30" s="59" t="s">
        <v>37</v>
      </c>
      <c r="D30" s="60">
        <f>SUM(D28:D29)</f>
        <v>28.35</v>
      </c>
      <c r="E30" s="56"/>
      <c r="F30" s="361" t="s">
        <v>38</v>
      </c>
      <c r="G30" s="361"/>
      <c r="H30" s="61">
        <f>SUM(H28:H29)</f>
        <v>-46.619468381897086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ht="20.25">
      <c r="A31" s="1"/>
      <c r="B31" s="295"/>
      <c r="C31" s="355" t="s">
        <v>39</v>
      </c>
      <c r="D31" s="355"/>
      <c r="E31" s="355"/>
      <c r="F31" s="355"/>
      <c r="G31" s="355"/>
      <c r="H31" s="62">
        <f>D30+H30</f>
        <v>-18.269468381897084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ht="21" customHeight="1">
      <c r="A32" s="1"/>
      <c r="B32" s="295"/>
      <c r="C32" s="353" t="s">
        <v>40</v>
      </c>
      <c r="D32" s="354"/>
      <c r="E32" s="354"/>
      <c r="F32" s="354"/>
      <c r="G32" s="354"/>
      <c r="H32" s="35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21" customHeight="1">
      <c r="A33" s="1"/>
      <c r="B33" s="295"/>
      <c r="C33" s="7" t="s">
        <v>4</v>
      </c>
      <c r="D33" s="8">
        <v>6</v>
      </c>
      <c r="E33" s="1"/>
      <c r="F33" s="9" t="s">
        <v>5</v>
      </c>
      <c r="G33" s="8">
        <v>6.8</v>
      </c>
      <c r="H33" s="36"/>
      <c r="J33" s="63"/>
      <c r="K33" s="6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ht="21" customHeight="1">
      <c r="A34" s="1"/>
      <c r="B34" s="295"/>
      <c r="C34" s="7" t="s">
        <v>9</v>
      </c>
      <c r="D34" s="8">
        <v>15</v>
      </c>
      <c r="E34" s="1"/>
      <c r="F34" s="9" t="s">
        <v>7</v>
      </c>
      <c r="G34" s="41">
        <f>D39/(G33-D38)</f>
        <v>13.323464100666174</v>
      </c>
      <c r="H34" s="65" t="str">
        <f>IF(G34=0,"CAP raggiunto","")</f>
        <v/>
      </c>
      <c r="I34" s="4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ht="21" customHeight="1">
      <c r="A35" s="1"/>
      <c r="B35" s="295"/>
      <c r="C35" s="19"/>
      <c r="D35" s="43"/>
      <c r="E35" s="1"/>
      <c r="F35" s="44" t="s">
        <v>10</v>
      </c>
      <c r="G35" s="45">
        <f>G34*(1-D38)</f>
        <v>12.723908216136195</v>
      </c>
      <c r="H35" s="65" t="str">
        <f>IF(G34=0,"non bancare!","")</f>
        <v/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ht="21" customHeight="1">
      <c r="A36" s="1"/>
      <c r="B36" s="295"/>
      <c r="C36" s="19" t="s">
        <v>23</v>
      </c>
      <c r="D36" s="43">
        <f>IF(D34*D33&gt;150,150,D34*D33)</f>
        <v>90</v>
      </c>
      <c r="E36" s="1"/>
      <c r="F36" s="17" t="s">
        <v>12</v>
      </c>
      <c r="G36" s="46">
        <f>(G34*(G33-1))</f>
        <v>77.276091783863805</v>
      </c>
      <c r="H36" s="36"/>
      <c r="I36" s="1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ht="21" customHeight="1">
      <c r="A37" s="1"/>
      <c r="B37" s="295"/>
      <c r="C37" s="9" t="s">
        <v>24</v>
      </c>
      <c r="D37" s="47"/>
      <c r="E37" s="1"/>
      <c r="F37" s="48"/>
      <c r="G37" s="48"/>
      <c r="H37" s="3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ht="21" customHeight="1">
      <c r="A38" s="1"/>
      <c r="B38" s="295"/>
      <c r="C38" s="9" t="s">
        <v>16</v>
      </c>
      <c r="D38" s="25">
        <v>4.4999999999999998E-2</v>
      </c>
      <c r="E38" s="1"/>
      <c r="F38" s="17" t="s">
        <v>25</v>
      </c>
      <c r="G38" s="49">
        <f>IF(G40="WIN",IF(D29&lt;&gt;0,150-D29,D36),IF(G40="LOSE",0))</f>
        <v>0</v>
      </c>
      <c r="H38" s="3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ht="21" customHeight="1">
      <c r="A39" s="1"/>
      <c r="B39" s="295"/>
      <c r="C39" s="50" t="s">
        <v>27</v>
      </c>
      <c r="D39" s="66">
        <f>IF(G21="LOSE",D36,150-D17)</f>
        <v>90</v>
      </c>
      <c r="E39" s="1"/>
      <c r="F39" s="17" t="s">
        <v>17</v>
      </c>
      <c r="G39" s="52">
        <f>IF(G40="WIN",-G36,IF(G40="LOSE",G35))</f>
        <v>12.723908216136195</v>
      </c>
      <c r="H39" s="3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ht="21" customHeight="1">
      <c r="A40" s="1"/>
      <c r="B40" s="295"/>
      <c r="C40" s="50"/>
      <c r="D40" s="21"/>
      <c r="E40" s="1"/>
      <c r="F40" s="17" t="s">
        <v>28</v>
      </c>
      <c r="G40" s="53" t="s">
        <v>29</v>
      </c>
      <c r="H40" s="3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21" customHeight="1">
      <c r="A41" s="1"/>
      <c r="B41" s="295"/>
      <c r="C41" s="352" t="s">
        <v>30</v>
      </c>
      <c r="D41" s="352"/>
      <c r="E41" s="352"/>
      <c r="F41" s="352"/>
      <c r="G41" s="352"/>
      <c r="H41" s="35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ht="21" customHeight="1">
      <c r="A42" s="1"/>
      <c r="B42" s="295"/>
      <c r="C42" s="355" t="s">
        <v>31</v>
      </c>
      <c r="D42" s="355"/>
      <c r="E42" s="355"/>
      <c r="F42" s="355"/>
      <c r="G42" s="355"/>
      <c r="H42" s="35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7.5" customHeight="1">
      <c r="A43" s="1"/>
      <c r="B43" s="356"/>
      <c r="C43" s="356"/>
      <c r="D43" s="356"/>
      <c r="E43" s="356"/>
      <c r="F43" s="356"/>
      <c r="G43" s="356"/>
      <c r="H43" s="356"/>
      <c r="I43" s="35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21" customHeight="1">
      <c r="A44" s="1"/>
      <c r="B44" s="295"/>
      <c r="C44" s="357" t="s">
        <v>41</v>
      </c>
      <c r="D44" s="357"/>
      <c r="E44" s="357"/>
      <c r="F44" s="357"/>
      <c r="G44" s="357"/>
      <c r="H44" s="35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21" customHeight="1">
      <c r="A45" s="1"/>
      <c r="B45" s="295"/>
      <c r="C45" s="2" t="s">
        <v>1</v>
      </c>
      <c r="D45" s="2"/>
      <c r="E45" s="3"/>
      <c r="F45" s="359" t="s">
        <v>2</v>
      </c>
      <c r="G45" s="359"/>
      <c r="H45" s="35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21" customHeight="1">
      <c r="A46" s="1"/>
      <c r="B46" s="295"/>
      <c r="C46" s="54" t="s">
        <v>42</v>
      </c>
      <c r="D46" s="55">
        <f>D30</f>
        <v>28.35</v>
      </c>
      <c r="E46" s="56"/>
      <c r="F46" s="360" t="s">
        <v>43</v>
      </c>
      <c r="G46" s="360"/>
      <c r="H46" s="57">
        <f>H30</f>
        <v>-46.619468381897086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21" customHeight="1">
      <c r="A47" s="1"/>
      <c r="B47" s="295"/>
      <c r="C47" s="58" t="s">
        <v>44</v>
      </c>
      <c r="D47" s="55">
        <f>G38</f>
        <v>0</v>
      </c>
      <c r="E47" s="56"/>
      <c r="F47" s="360" t="s">
        <v>45</v>
      </c>
      <c r="G47" s="360"/>
      <c r="H47" s="57">
        <f>G39</f>
        <v>12.723908216136195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ht="21" customHeight="1">
      <c r="A48" s="1"/>
      <c r="B48" s="295"/>
      <c r="C48" s="59" t="s">
        <v>37</v>
      </c>
      <c r="D48" s="60">
        <f>SUM(D46:D47)</f>
        <v>28.35</v>
      </c>
      <c r="E48" s="56"/>
      <c r="F48" s="361" t="s">
        <v>38</v>
      </c>
      <c r="G48" s="361"/>
      <c r="H48" s="61">
        <f>SUM(H46:H47)</f>
        <v>-33.895560165760891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ht="21" customHeight="1">
      <c r="A49" s="1"/>
      <c r="B49" s="295"/>
      <c r="C49" s="355" t="s">
        <v>46</v>
      </c>
      <c r="D49" s="355"/>
      <c r="E49" s="355"/>
      <c r="F49" s="355"/>
      <c r="G49" s="355"/>
      <c r="H49" s="62">
        <f>D48+H48</f>
        <v>-5.5455601657608895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ht="21" customHeight="1">
      <c r="A50" s="1"/>
      <c r="B50" s="295"/>
      <c r="C50" s="67"/>
      <c r="D50" s="67"/>
      <c r="E50" s="67"/>
      <c r="F50" s="67"/>
      <c r="G50" s="68"/>
      <c r="H50" s="3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ht="21" customHeight="1">
      <c r="A51" s="1"/>
      <c r="B51" s="295"/>
      <c r="C51" s="67"/>
      <c r="D51" s="67"/>
      <c r="E51" s="67"/>
      <c r="F51" s="67"/>
      <c r="G51" s="68"/>
      <c r="H51" s="3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ht="21" customHeight="1">
      <c r="A52" s="1"/>
      <c r="B52" s="295"/>
      <c r="C52" s="67"/>
      <c r="D52" s="67"/>
      <c r="E52" s="67"/>
      <c r="F52" s="67"/>
      <c r="G52" s="68"/>
      <c r="H52" s="3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21" customHeight="1">
      <c r="A53" s="1"/>
      <c r="B53" s="295"/>
      <c r="C53" s="67"/>
      <c r="D53" s="67"/>
      <c r="E53" s="67"/>
      <c r="F53" s="67"/>
      <c r="G53" s="68"/>
      <c r="H53" s="3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21" customHeight="1">
      <c r="A54" s="1"/>
      <c r="B54" s="295"/>
      <c r="C54" s="67"/>
      <c r="D54" s="67"/>
      <c r="E54" s="67"/>
      <c r="F54" s="67"/>
      <c r="G54" s="68"/>
      <c r="H54" s="3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ht="21" customHeight="1">
      <c r="A55" s="1"/>
      <c r="B55" s="295"/>
      <c r="C55" s="67"/>
      <c r="D55" s="67"/>
      <c r="E55" s="67"/>
      <c r="F55" s="67"/>
      <c r="G55" s="68"/>
      <c r="H55" s="3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ht="21" customHeight="1">
      <c r="B56" s="295"/>
      <c r="C56" s="67"/>
      <c r="D56" s="67"/>
      <c r="E56" s="67"/>
      <c r="F56" s="67"/>
      <c r="G56" s="68"/>
      <c r="H56" s="3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ht="21" customHeight="1">
      <c r="B57" s="295"/>
      <c r="C57" s="67"/>
      <c r="D57" s="67"/>
      <c r="E57" s="67"/>
      <c r="F57" s="67"/>
      <c r="G57" s="68"/>
      <c r="H57" s="3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ht="21" customHeight="1">
      <c r="B58" s="295"/>
      <c r="C58" s="67"/>
      <c r="D58" s="67"/>
      <c r="E58" s="67"/>
      <c r="F58" s="67"/>
      <c r="G58" s="68"/>
      <c r="H58" s="3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ht="21" customHeight="1">
      <c r="B59" s="295"/>
      <c r="C59" s="67"/>
      <c r="D59" s="67"/>
      <c r="E59" s="67"/>
      <c r="F59" s="67"/>
      <c r="G59" s="68"/>
      <c r="H59" s="3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ht="21" customHeight="1">
      <c r="B60" s="295"/>
      <c r="C60" s="67"/>
      <c r="D60" s="67"/>
      <c r="E60" s="67"/>
      <c r="F60" s="67"/>
      <c r="G60" s="68"/>
      <c r="H60" s="3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ht="21" customHeight="1">
      <c r="B61" s="295"/>
      <c r="C61" s="67"/>
      <c r="D61" s="67"/>
      <c r="E61" s="67"/>
      <c r="F61" s="67"/>
      <c r="G61" s="68"/>
      <c r="H61" s="3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21" customHeight="1">
      <c r="B62" s="295"/>
      <c r="C62" s="67"/>
      <c r="D62" s="67"/>
      <c r="E62" s="67"/>
      <c r="F62" s="67"/>
      <c r="G62" s="68"/>
      <c r="H62" s="3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21" customHeight="1">
      <c r="B63" s="295"/>
      <c r="C63" s="67"/>
      <c r="D63" s="67"/>
      <c r="E63" s="67"/>
      <c r="F63" s="67"/>
      <c r="G63" s="68"/>
      <c r="H63" s="3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ht="21" customHeight="1">
      <c r="B64" s="295"/>
      <c r="C64" s="67"/>
      <c r="D64" s="67"/>
      <c r="E64" s="67"/>
      <c r="F64" s="67"/>
      <c r="G64" s="68"/>
      <c r="H64" s="3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2:58" ht="21" customHeight="1">
      <c r="B65" s="295"/>
      <c r="C65" s="67"/>
      <c r="D65" s="67"/>
      <c r="E65" s="67"/>
      <c r="F65" s="67"/>
      <c r="G65" s="68"/>
      <c r="H65" s="3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2:58" ht="21" customHeight="1">
      <c r="B66" s="295"/>
      <c r="C66" s="67"/>
      <c r="D66" s="67"/>
      <c r="E66" s="67"/>
      <c r="F66" s="67"/>
      <c r="G66" s="68"/>
      <c r="H66" s="3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2:58" ht="21" customHeight="1">
      <c r="B67" s="295"/>
      <c r="C67" s="67"/>
      <c r="D67" s="67"/>
      <c r="E67" s="67"/>
      <c r="F67" s="67"/>
      <c r="G67" s="68"/>
      <c r="H67" s="3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2:58" ht="21" customHeight="1">
      <c r="B68" s="295"/>
      <c r="C68" s="67"/>
      <c r="D68" s="67"/>
      <c r="E68" s="67"/>
      <c r="F68" s="67"/>
      <c r="G68" s="68"/>
      <c r="H68" s="3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2:58" ht="21" customHeight="1">
      <c r="B69" s="295"/>
      <c r="C69" s="67"/>
      <c r="D69" s="67"/>
      <c r="E69" s="67"/>
      <c r="F69" s="67"/>
      <c r="G69" s="68"/>
      <c r="H69" s="3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2:58" ht="21" customHeight="1">
      <c r="B70" s="295"/>
      <c r="C70" s="67"/>
      <c r="D70" s="67"/>
      <c r="E70" s="67"/>
      <c r="F70" s="67"/>
      <c r="G70" s="68"/>
      <c r="H70" s="3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2:58" ht="21" customHeight="1">
      <c r="B71" s="295"/>
      <c r="C71" s="67"/>
      <c r="D71" s="67"/>
      <c r="E71" s="67"/>
      <c r="F71" s="67"/>
      <c r="G71" s="68"/>
      <c r="H71" s="3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2:58" ht="21" customHeight="1">
      <c r="B72" s="295"/>
      <c r="C72" s="67"/>
      <c r="D72" s="67"/>
      <c r="E72" s="67"/>
      <c r="F72" s="67"/>
      <c r="G72" s="68"/>
      <c r="H72" s="3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2:58" ht="21" customHeight="1">
      <c r="B73" s="295"/>
      <c r="C73" s="67"/>
      <c r="D73" s="67"/>
      <c r="E73" s="67"/>
      <c r="F73" s="67"/>
      <c r="G73" s="68"/>
      <c r="H73" s="3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2:58" ht="21" customHeight="1">
      <c r="B74" s="295"/>
      <c r="C74" s="67"/>
      <c r="D74" s="67"/>
      <c r="E74" s="67"/>
      <c r="F74" s="67"/>
      <c r="G74" s="68"/>
      <c r="H74" s="3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2:58" ht="21" customHeight="1">
      <c r="B75" s="295"/>
      <c r="C75" s="67"/>
      <c r="D75" s="67"/>
      <c r="E75" s="67"/>
      <c r="F75" s="67"/>
      <c r="G75" s="68"/>
      <c r="H75" s="3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2:58" ht="21" customHeight="1">
      <c r="B76" s="295"/>
      <c r="C76" s="67"/>
      <c r="D76" s="67"/>
      <c r="E76" s="67"/>
      <c r="F76" s="67"/>
      <c r="G76" s="68"/>
      <c r="H76" s="3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2:58" ht="21" customHeight="1">
      <c r="B77" s="295"/>
      <c r="C77" s="67"/>
      <c r="D77" s="67"/>
      <c r="E77" s="67"/>
      <c r="F77" s="67"/>
      <c r="G77" s="68"/>
      <c r="H77" s="3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2:58" ht="21" customHeight="1">
      <c r="B78" s="295"/>
      <c r="C78" s="67"/>
      <c r="D78" s="67"/>
      <c r="E78" s="67"/>
      <c r="F78" s="67"/>
      <c r="G78" s="68"/>
      <c r="H78" s="3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2:58" ht="21" customHeight="1">
      <c r="B79" s="295"/>
      <c r="C79" s="67"/>
      <c r="D79" s="67"/>
      <c r="E79" s="67"/>
      <c r="F79" s="67"/>
      <c r="G79" s="68"/>
      <c r="H79" s="3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2:58" ht="21" customHeight="1">
      <c r="B80" s="295"/>
      <c r="C80" s="67"/>
      <c r="D80" s="67"/>
      <c r="E80" s="67"/>
      <c r="F80" s="67"/>
      <c r="G80" s="68"/>
      <c r="H80" s="3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2:46" ht="21" customHeight="1">
      <c r="B81" s="295"/>
      <c r="C81" s="67"/>
      <c r="D81" s="67"/>
      <c r="E81" s="67"/>
      <c r="F81" s="67"/>
      <c r="G81" s="68"/>
      <c r="H81" s="3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2:46" ht="21" customHeight="1">
      <c r="B82" s="295"/>
      <c r="C82" s="67"/>
      <c r="D82" s="67"/>
      <c r="E82" s="67"/>
      <c r="F82" s="67"/>
      <c r="G82" s="68"/>
      <c r="H82" s="3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2:46" ht="21" customHeight="1">
      <c r="B83" s="295"/>
      <c r="C83" s="67"/>
      <c r="D83" s="67"/>
      <c r="E83" s="67"/>
      <c r="F83" s="67"/>
      <c r="G83" s="68"/>
      <c r="H83" s="3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2:46" ht="21" customHeight="1">
      <c r="B84" s="295"/>
      <c r="C84" s="67"/>
      <c r="D84" s="67"/>
      <c r="E84" s="67"/>
      <c r="F84" s="67"/>
      <c r="G84" s="68"/>
      <c r="H84" s="3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2:46" ht="21" customHeight="1">
      <c r="B85" s="295"/>
      <c r="C85" s="67"/>
      <c r="D85" s="67"/>
      <c r="E85" s="67"/>
      <c r="F85" s="67"/>
      <c r="G85" s="68"/>
      <c r="H85" s="3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2:46" ht="21" customHeight="1">
      <c r="B86" s="295"/>
      <c r="C86" s="67"/>
      <c r="D86" s="67"/>
      <c r="E86" s="67"/>
      <c r="F86" s="67"/>
      <c r="G86" s="68"/>
      <c r="H86" s="3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2:46" ht="21" customHeight="1">
      <c r="B87" s="295"/>
      <c r="C87" s="67"/>
      <c r="D87" s="67"/>
      <c r="E87" s="67"/>
      <c r="F87" s="67"/>
      <c r="G87" s="68"/>
      <c r="H87" s="3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2:46" ht="21" customHeight="1">
      <c r="B88" s="295"/>
      <c r="C88" s="67"/>
      <c r="D88" s="67"/>
      <c r="E88" s="67"/>
      <c r="F88" s="67"/>
      <c r="G88" s="68"/>
      <c r="H88" s="3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2:46" ht="21" customHeight="1">
      <c r="B89" s="295"/>
      <c r="C89" s="67"/>
      <c r="D89" s="67"/>
      <c r="E89" s="67"/>
      <c r="F89" s="67"/>
      <c r="G89" s="68"/>
      <c r="H89" s="3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2:46" ht="21" customHeight="1">
      <c r="B90" s="295"/>
      <c r="C90" s="67"/>
      <c r="D90" s="67"/>
      <c r="E90" s="67"/>
      <c r="F90" s="67"/>
      <c r="G90" s="68"/>
      <c r="H90" s="3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2:46" ht="21" customHeight="1">
      <c r="B91" s="295"/>
      <c r="C91" s="67"/>
      <c r="D91" s="67"/>
      <c r="E91" s="67"/>
      <c r="F91" s="67"/>
      <c r="G91" s="68"/>
      <c r="H91" s="3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2:46" ht="21" customHeight="1">
      <c r="B92" s="295"/>
      <c r="C92" s="67"/>
      <c r="D92" s="67"/>
      <c r="E92" s="67"/>
      <c r="F92" s="67"/>
      <c r="G92" s="68"/>
      <c r="H92" s="3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2:46" ht="21" customHeight="1">
      <c r="B93" s="295"/>
      <c r="C93" s="67"/>
      <c r="D93" s="67"/>
      <c r="E93" s="67"/>
      <c r="F93" s="67"/>
      <c r="G93" s="68"/>
      <c r="H93" s="3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2:46" ht="21" customHeight="1">
      <c r="B94" s="295"/>
      <c r="C94" s="67"/>
      <c r="D94" s="67"/>
      <c r="E94" s="67"/>
      <c r="F94" s="67"/>
      <c r="G94" s="68"/>
      <c r="H94" s="3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2:46" ht="21" customHeight="1">
      <c r="B95" s="295"/>
      <c r="C95" s="67"/>
      <c r="D95" s="67"/>
      <c r="E95" s="67"/>
      <c r="F95" s="67"/>
      <c r="G95" s="68"/>
      <c r="H95" s="3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2:46" ht="21" customHeight="1">
      <c r="B96" s="295"/>
      <c r="C96" s="67"/>
      <c r="D96" s="67"/>
      <c r="E96" s="67"/>
      <c r="F96" s="67"/>
      <c r="G96" s="68"/>
      <c r="H96" s="3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2:46" ht="21" customHeight="1">
      <c r="B97" s="295"/>
      <c r="C97" s="67"/>
      <c r="D97" s="67"/>
      <c r="E97" s="67"/>
      <c r="F97" s="67"/>
      <c r="G97" s="68"/>
      <c r="H97" s="3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2:46" ht="21" customHeight="1">
      <c r="B98" s="295"/>
      <c r="C98" s="67"/>
      <c r="D98" s="67"/>
      <c r="E98" s="67"/>
      <c r="F98" s="67"/>
      <c r="G98" s="68"/>
      <c r="H98" s="3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2:46" ht="21" customHeight="1">
      <c r="B99" s="295"/>
      <c r="C99" s="67"/>
      <c r="D99" s="67"/>
      <c r="E99" s="67"/>
      <c r="F99" s="67"/>
      <c r="G99" s="68"/>
      <c r="H99" s="3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2:46" ht="21" customHeight="1">
      <c r="B100" s="295"/>
      <c r="C100" s="67"/>
      <c r="D100" s="67"/>
      <c r="E100" s="67"/>
      <c r="F100" s="67"/>
      <c r="G100" s="68"/>
      <c r="H100" s="3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2:46" ht="21" customHeight="1">
      <c r="B101" s="295"/>
      <c r="C101" s="67"/>
      <c r="D101" s="67"/>
      <c r="E101" s="67"/>
      <c r="F101" s="67"/>
      <c r="G101" s="68"/>
      <c r="H101" s="3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2:46" ht="21" customHeight="1">
      <c r="B102" s="295"/>
      <c r="C102" s="67"/>
      <c r="D102" s="67"/>
      <c r="E102" s="67"/>
      <c r="F102" s="67"/>
      <c r="G102" s="68"/>
      <c r="H102" s="3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2:46" ht="21" customHeight="1">
      <c r="B103" s="295"/>
      <c r="C103" s="67"/>
      <c r="D103" s="67"/>
      <c r="E103" s="67"/>
      <c r="F103" s="67"/>
      <c r="G103" s="68"/>
      <c r="H103" s="3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2:46" ht="21" customHeight="1">
      <c r="B104" s="295"/>
      <c r="C104" s="67"/>
      <c r="D104" s="67"/>
      <c r="E104" s="67"/>
      <c r="F104" s="67"/>
      <c r="G104" s="68"/>
      <c r="H104" s="3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2:46" ht="21" customHeight="1">
      <c r="B105" s="295"/>
      <c r="C105" s="67"/>
      <c r="D105" s="67"/>
      <c r="E105" s="67"/>
      <c r="F105" s="67"/>
      <c r="G105" s="68"/>
      <c r="H105" s="3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2:46" ht="21" customHeight="1">
      <c r="B106" s="295"/>
      <c r="C106" s="67"/>
      <c r="D106" s="67"/>
      <c r="E106" s="67"/>
      <c r="F106" s="67"/>
      <c r="G106" s="68"/>
      <c r="H106" s="36"/>
      <c r="I106" s="1"/>
      <c r="J106" s="1"/>
      <c r="K106" s="1"/>
      <c r="L106" s="1"/>
    </row>
    <row r="107" spans="2:46" ht="21" customHeight="1">
      <c r="B107" s="295"/>
      <c r="C107" s="67"/>
      <c r="D107" s="67"/>
      <c r="E107" s="67"/>
      <c r="F107" s="67"/>
      <c r="G107" s="68"/>
      <c r="H107" s="36"/>
      <c r="I107" s="1"/>
      <c r="J107" s="1"/>
      <c r="K107" s="1"/>
      <c r="L107" s="1"/>
    </row>
    <row r="108" spans="2:46" ht="21" customHeight="1">
      <c r="B108" s="295"/>
      <c r="C108" s="67"/>
      <c r="D108" s="67"/>
      <c r="E108" s="67"/>
      <c r="F108" s="67"/>
      <c r="G108" s="68"/>
      <c r="H108" s="36"/>
      <c r="I108" s="1"/>
      <c r="J108" s="1"/>
      <c r="K108" s="1"/>
      <c r="L108" s="1"/>
    </row>
    <row r="109" spans="2:46" ht="21" customHeight="1">
      <c r="B109" s="295"/>
      <c r="C109" s="67"/>
      <c r="D109" s="67"/>
      <c r="E109" s="67"/>
      <c r="F109" s="67"/>
      <c r="G109" s="68"/>
      <c r="H109" s="36"/>
      <c r="I109" s="1"/>
      <c r="J109" s="1"/>
      <c r="K109" s="1"/>
      <c r="L109" s="1"/>
    </row>
    <row r="110" spans="2:46" ht="21" customHeight="1">
      <c r="B110" s="295"/>
      <c r="C110" s="67"/>
      <c r="D110" s="67"/>
      <c r="E110" s="67"/>
      <c r="F110" s="67"/>
      <c r="G110" s="68"/>
      <c r="H110" s="36"/>
      <c r="I110" s="1"/>
      <c r="J110" s="1"/>
      <c r="K110" s="1"/>
      <c r="L110" s="1"/>
    </row>
    <row r="111" spans="2:46" ht="21" customHeight="1">
      <c r="B111" s="295"/>
      <c r="C111" s="67"/>
      <c r="D111" s="67"/>
      <c r="E111" s="67"/>
      <c r="F111" s="67"/>
      <c r="G111" s="68"/>
      <c r="H111" s="36"/>
      <c r="I111" s="1"/>
      <c r="J111" s="1"/>
      <c r="K111" s="1"/>
      <c r="L111" s="1"/>
    </row>
    <row r="112" spans="2:46" ht="21" customHeight="1">
      <c r="B112" s="295"/>
      <c r="C112" s="67"/>
      <c r="D112" s="67"/>
      <c r="E112" s="67"/>
      <c r="F112" s="67"/>
      <c r="G112" s="68"/>
      <c r="H112" s="36"/>
      <c r="I112" s="1"/>
      <c r="J112" s="1"/>
      <c r="K112" s="1"/>
      <c r="L112" s="1"/>
    </row>
    <row r="113" spans="2:12" ht="21" customHeight="1">
      <c r="B113" s="295"/>
      <c r="C113" s="67"/>
      <c r="D113" s="67"/>
      <c r="E113" s="67"/>
      <c r="F113" s="67"/>
      <c r="G113" s="68"/>
      <c r="H113" s="36"/>
      <c r="I113" s="1"/>
      <c r="J113" s="1"/>
      <c r="K113" s="1"/>
      <c r="L113" s="1"/>
    </row>
    <row r="114" spans="2:12" ht="21" customHeight="1">
      <c r="B114" s="295"/>
      <c r="C114" s="67"/>
      <c r="D114" s="67"/>
      <c r="E114" s="67"/>
      <c r="F114" s="67"/>
      <c r="G114" s="68"/>
      <c r="H114" s="36"/>
      <c r="I114" s="1"/>
      <c r="J114" s="1"/>
      <c r="K114" s="1"/>
      <c r="L114" s="1"/>
    </row>
    <row r="115" spans="2:12" ht="21" customHeight="1">
      <c r="B115" s="295"/>
      <c r="C115" s="67"/>
      <c r="D115" s="67"/>
      <c r="E115" s="67"/>
      <c r="F115" s="67"/>
      <c r="G115" s="68"/>
      <c r="H115" s="36"/>
      <c r="I115" s="1"/>
      <c r="J115" s="1"/>
      <c r="K115" s="1"/>
      <c r="L115" s="1"/>
    </row>
    <row r="116" spans="2:12" ht="21" customHeight="1">
      <c r="B116" s="295"/>
      <c r="C116" s="67"/>
      <c r="D116" s="67"/>
      <c r="E116" s="67"/>
      <c r="F116" s="67"/>
      <c r="G116" s="68"/>
      <c r="H116" s="36"/>
      <c r="I116" s="1"/>
      <c r="J116" s="1"/>
      <c r="K116" s="1"/>
      <c r="L116" s="1"/>
    </row>
    <row r="117" spans="2:12" ht="21" customHeight="1">
      <c r="B117" s="295"/>
      <c r="C117" s="67"/>
      <c r="D117" s="67"/>
      <c r="E117" s="67"/>
      <c r="F117" s="67"/>
      <c r="G117" s="68"/>
      <c r="H117" s="36"/>
      <c r="I117" s="1"/>
      <c r="J117" s="1"/>
      <c r="K117" s="1"/>
      <c r="L117" s="1"/>
    </row>
    <row r="118" spans="2:12" ht="21" customHeight="1">
      <c r="B118" s="295"/>
      <c r="C118" s="67"/>
      <c r="D118" s="67"/>
      <c r="E118" s="67"/>
      <c r="F118" s="67"/>
      <c r="G118" s="68"/>
      <c r="H118" s="36"/>
      <c r="I118" s="1"/>
      <c r="J118" s="1"/>
      <c r="K118" s="1"/>
      <c r="L118" s="1"/>
    </row>
    <row r="119" spans="2:12" ht="21" customHeight="1">
      <c r="B119" s="295"/>
      <c r="C119" s="67"/>
      <c r="D119" s="67"/>
      <c r="E119" s="67"/>
      <c r="F119" s="67"/>
      <c r="G119" s="68"/>
      <c r="H119" s="36"/>
      <c r="I119" s="1"/>
      <c r="J119" s="1"/>
      <c r="K119" s="1"/>
      <c r="L119" s="1"/>
    </row>
    <row r="120" spans="2:12" ht="21" customHeight="1">
      <c r="B120" s="295"/>
      <c r="C120" s="67"/>
      <c r="D120" s="67"/>
      <c r="E120" s="67"/>
      <c r="F120" s="67"/>
      <c r="G120" s="68"/>
      <c r="H120" s="36"/>
      <c r="I120" s="1"/>
      <c r="J120" s="1"/>
      <c r="K120" s="1"/>
      <c r="L120" s="1"/>
    </row>
    <row r="121" spans="2:12" ht="21" customHeight="1">
      <c r="B121" s="295"/>
      <c r="C121" s="67"/>
      <c r="D121" s="67"/>
      <c r="E121" s="67"/>
      <c r="F121" s="67"/>
      <c r="G121" s="68"/>
      <c r="H121" s="36"/>
      <c r="I121" s="1"/>
      <c r="J121" s="1"/>
      <c r="K121" s="1"/>
      <c r="L121" s="1"/>
    </row>
    <row r="122" spans="2:12" ht="21" customHeight="1">
      <c r="B122" s="295"/>
      <c r="C122" s="67"/>
      <c r="D122" s="67"/>
      <c r="E122" s="67"/>
      <c r="F122" s="67"/>
      <c r="G122" s="68"/>
      <c r="H122" s="36"/>
      <c r="I122" s="1"/>
      <c r="J122" s="1"/>
      <c r="K122" s="1"/>
      <c r="L122" s="1"/>
    </row>
    <row r="123" spans="2:12" ht="21" customHeight="1">
      <c r="B123" s="295"/>
      <c r="C123" s="67"/>
      <c r="D123" s="67"/>
      <c r="E123" s="67"/>
      <c r="F123" s="67"/>
      <c r="G123" s="68"/>
      <c r="H123" s="36"/>
      <c r="I123" s="1"/>
      <c r="J123" s="1"/>
      <c r="K123" s="1"/>
      <c r="L123" s="1"/>
    </row>
    <row r="124" spans="2:12" ht="21" customHeight="1">
      <c r="B124" s="295"/>
      <c r="C124" s="67"/>
      <c r="D124" s="67"/>
      <c r="E124" s="67"/>
      <c r="F124" s="67"/>
      <c r="G124" s="68"/>
      <c r="H124" s="36"/>
      <c r="I124" s="1"/>
      <c r="J124" s="1"/>
      <c r="K124" s="1"/>
      <c r="L124" s="1"/>
    </row>
    <row r="125" spans="2:12" ht="21" customHeight="1">
      <c r="B125" s="295"/>
      <c r="C125" s="67"/>
      <c r="D125" s="67"/>
      <c r="E125" s="67"/>
      <c r="F125" s="67"/>
      <c r="G125" s="68"/>
      <c r="H125" s="36"/>
      <c r="I125" s="1"/>
      <c r="J125" s="1"/>
      <c r="K125" s="1"/>
      <c r="L125" s="1"/>
    </row>
    <row r="126" spans="2:12" ht="21" customHeight="1">
      <c r="B126" s="295"/>
      <c r="C126" s="67"/>
      <c r="D126" s="67"/>
      <c r="E126" s="67"/>
      <c r="F126" s="67"/>
      <c r="G126" s="68"/>
      <c r="H126" s="36"/>
      <c r="I126" s="1"/>
      <c r="J126" s="1"/>
      <c r="K126" s="1"/>
      <c r="L126" s="1"/>
    </row>
    <row r="127" spans="2:12" ht="21" customHeight="1">
      <c r="B127" s="295"/>
      <c r="C127" s="67"/>
      <c r="D127" s="67"/>
      <c r="E127" s="67"/>
      <c r="F127" s="67"/>
      <c r="G127" s="68"/>
      <c r="H127" s="36"/>
      <c r="I127" s="1"/>
      <c r="J127" s="1"/>
      <c r="K127" s="1"/>
      <c r="L127" s="1"/>
    </row>
    <row r="128" spans="2:12" ht="21" customHeight="1">
      <c r="B128" s="295"/>
      <c r="C128" s="67"/>
      <c r="D128" s="67"/>
      <c r="E128" s="67"/>
      <c r="F128" s="67"/>
      <c r="G128" s="68"/>
      <c r="H128" s="36"/>
      <c r="I128" s="1"/>
      <c r="J128" s="1"/>
      <c r="K128" s="1"/>
      <c r="L128" s="1"/>
    </row>
    <row r="129" spans="2:12" ht="21" customHeight="1">
      <c r="B129" s="295"/>
      <c r="C129" s="67"/>
      <c r="D129" s="67"/>
      <c r="E129" s="67"/>
      <c r="F129" s="67"/>
      <c r="G129" s="68"/>
      <c r="H129" s="36"/>
      <c r="I129" s="1"/>
      <c r="J129" s="1"/>
      <c r="K129" s="1"/>
      <c r="L129" s="1"/>
    </row>
    <row r="130" spans="2:12" ht="21" customHeight="1">
      <c r="B130" s="295"/>
      <c r="C130" s="67"/>
      <c r="D130" s="67"/>
      <c r="E130" s="67"/>
      <c r="F130" s="67"/>
      <c r="G130" s="68"/>
      <c r="H130" s="36"/>
      <c r="I130" s="1"/>
      <c r="J130" s="1"/>
      <c r="K130" s="1"/>
      <c r="L130" s="1"/>
    </row>
    <row r="131" spans="2:12" ht="21" customHeight="1">
      <c r="B131" s="295"/>
      <c r="C131" s="67"/>
      <c r="D131" s="67"/>
      <c r="E131" s="67"/>
      <c r="F131" s="67"/>
      <c r="G131" s="68"/>
      <c r="H131" s="36"/>
      <c r="I131" s="1"/>
      <c r="J131" s="1"/>
      <c r="K131" s="1"/>
      <c r="L131" s="1"/>
    </row>
    <row r="132" spans="2:12" ht="21" customHeight="1">
      <c r="B132" s="295"/>
      <c r="C132" s="67"/>
      <c r="D132" s="67"/>
      <c r="E132" s="67"/>
      <c r="F132" s="67"/>
      <c r="G132" s="68"/>
      <c r="H132" s="36"/>
      <c r="I132" s="1"/>
      <c r="J132" s="1"/>
      <c r="K132" s="1"/>
      <c r="L132" s="1"/>
    </row>
    <row r="133" spans="2:12" ht="21" customHeight="1">
      <c r="B133" s="295"/>
      <c r="C133" s="67"/>
      <c r="D133" s="67"/>
      <c r="E133" s="67"/>
      <c r="F133" s="67"/>
      <c r="G133" s="68"/>
      <c r="H133" s="36"/>
      <c r="I133" s="1"/>
      <c r="J133" s="1"/>
      <c r="K133" s="1"/>
      <c r="L133" s="1"/>
    </row>
    <row r="134" spans="2:12" ht="21" customHeight="1">
      <c r="B134" s="295"/>
      <c r="C134" s="67"/>
      <c r="D134" s="67"/>
      <c r="E134" s="67"/>
      <c r="F134" s="67"/>
      <c r="G134" s="68"/>
      <c r="H134" s="36"/>
      <c r="I134" s="1"/>
      <c r="J134" s="1"/>
      <c r="K134" s="1"/>
      <c r="L134" s="1"/>
    </row>
    <row r="135" spans="2:12" ht="21" customHeight="1">
      <c r="B135" s="295"/>
      <c r="C135" s="67"/>
      <c r="D135" s="67"/>
      <c r="E135" s="67"/>
      <c r="F135" s="67"/>
      <c r="G135" s="68"/>
      <c r="H135" s="36"/>
      <c r="I135" s="1"/>
      <c r="J135" s="1"/>
      <c r="K135" s="1"/>
      <c r="L135" s="1"/>
    </row>
    <row r="136" spans="2:12" ht="21" customHeight="1">
      <c r="B136" s="295"/>
      <c r="C136" s="67"/>
      <c r="D136" s="67"/>
      <c r="E136" s="67"/>
      <c r="F136" s="67"/>
      <c r="G136" s="68"/>
      <c r="H136" s="36"/>
      <c r="I136" s="1"/>
      <c r="J136" s="1"/>
      <c r="K136" s="1"/>
      <c r="L136" s="1"/>
    </row>
    <row r="137" spans="2:12" ht="21" customHeight="1">
      <c r="B137" s="295"/>
      <c r="C137" s="67"/>
      <c r="D137" s="67"/>
      <c r="E137" s="67"/>
      <c r="F137" s="67"/>
      <c r="G137" s="68"/>
      <c r="H137" s="36"/>
      <c r="I137" s="1"/>
      <c r="J137" s="1"/>
      <c r="K137" s="1"/>
      <c r="L137" s="1"/>
    </row>
    <row r="138" spans="2:12" ht="21" customHeight="1">
      <c r="B138" s="295"/>
      <c r="C138" s="67"/>
      <c r="D138" s="67"/>
      <c r="E138" s="67"/>
      <c r="F138" s="67"/>
      <c r="G138" s="68"/>
      <c r="H138" s="36"/>
      <c r="I138" s="1"/>
      <c r="J138" s="1"/>
      <c r="K138" s="1"/>
      <c r="L138" s="1"/>
    </row>
    <row r="139" spans="2:12" ht="21" customHeight="1">
      <c r="B139" s="295"/>
      <c r="C139" s="67"/>
      <c r="D139" s="67"/>
      <c r="E139" s="67"/>
      <c r="F139" s="67"/>
      <c r="G139" s="68"/>
      <c r="H139" s="36"/>
      <c r="I139" s="1"/>
      <c r="J139" s="1"/>
      <c r="K139" s="1"/>
      <c r="L139" s="1"/>
    </row>
    <row r="140" spans="2:12" ht="21" customHeight="1">
      <c r="B140" s="295"/>
      <c r="C140" s="67"/>
      <c r="D140" s="67"/>
      <c r="E140" s="67"/>
      <c r="F140" s="67"/>
      <c r="G140" s="68"/>
      <c r="H140" s="36"/>
      <c r="I140" s="1"/>
      <c r="J140" s="1"/>
      <c r="K140" s="1"/>
      <c r="L140" s="1"/>
    </row>
    <row r="141" spans="2:12" ht="21" customHeight="1">
      <c r="B141" s="295"/>
      <c r="C141" s="67"/>
      <c r="D141" s="67"/>
      <c r="E141" s="67"/>
      <c r="F141" s="67"/>
      <c r="G141" s="68"/>
      <c r="H141" s="36"/>
      <c r="I141" s="1"/>
      <c r="J141" s="1"/>
      <c r="K141" s="1"/>
      <c r="L141" s="1"/>
    </row>
    <row r="142" spans="2:12" ht="21" customHeight="1">
      <c r="B142" s="295"/>
      <c r="C142" s="67"/>
      <c r="D142" s="67"/>
      <c r="E142" s="67"/>
      <c r="F142" s="67"/>
      <c r="G142" s="68"/>
      <c r="H142" s="36"/>
      <c r="I142" s="1"/>
      <c r="J142" s="1"/>
      <c r="K142" s="1"/>
      <c r="L142" s="1"/>
    </row>
    <row r="143" spans="2:12" ht="21" customHeight="1">
      <c r="B143" s="295"/>
      <c r="C143" s="67"/>
      <c r="D143" s="67"/>
      <c r="E143" s="67"/>
      <c r="F143" s="67"/>
      <c r="G143" s="68"/>
      <c r="H143" s="36"/>
      <c r="I143" s="1"/>
      <c r="J143" s="1"/>
      <c r="K143" s="1"/>
      <c r="L143" s="1"/>
    </row>
    <row r="144" spans="2:12" ht="21" customHeight="1">
      <c r="B144" s="295"/>
      <c r="C144" s="67"/>
      <c r="D144" s="67"/>
      <c r="E144" s="67"/>
      <c r="F144" s="67"/>
      <c r="G144" s="68"/>
      <c r="H144" s="36"/>
      <c r="I144" s="1"/>
      <c r="J144" s="1"/>
      <c r="K144" s="1"/>
      <c r="L144" s="1"/>
    </row>
    <row r="145" spans="2:12" ht="21" customHeight="1">
      <c r="B145" s="295"/>
      <c r="C145" s="67"/>
      <c r="D145" s="67"/>
      <c r="E145" s="67"/>
      <c r="F145" s="67"/>
      <c r="G145" s="68"/>
      <c r="H145" s="36"/>
      <c r="I145" s="1"/>
      <c r="J145" s="1"/>
      <c r="K145" s="1"/>
      <c r="L145" s="1"/>
    </row>
  </sheetData>
  <mergeCells count="21">
    <mergeCell ref="F48:G48"/>
    <mergeCell ref="C49:G49"/>
    <mergeCell ref="C42:H42"/>
    <mergeCell ref="B43:I43"/>
    <mergeCell ref="C44:H44"/>
    <mergeCell ref="F45:H45"/>
    <mergeCell ref="F46:G46"/>
    <mergeCell ref="F47:G47"/>
    <mergeCell ref="C41:H41"/>
    <mergeCell ref="C1:H1"/>
    <mergeCell ref="C12:H12"/>
    <mergeCell ref="C23:H23"/>
    <mergeCell ref="C24:H24"/>
    <mergeCell ref="B25:I25"/>
    <mergeCell ref="C26:H26"/>
    <mergeCell ref="A5:B5"/>
    <mergeCell ref="F27:H27"/>
    <mergeCell ref="F28:G28"/>
    <mergeCell ref="F30:G30"/>
    <mergeCell ref="C31:G31"/>
    <mergeCell ref="C32:H32"/>
  </mergeCells>
  <conditionalFormatting sqref="G21">
    <cfRule type="expression" dxfId="3" priority="3">
      <formula>"""LOSE"""</formula>
    </cfRule>
    <cfRule type="expression" dxfId="2" priority="4">
      <formula>"WIN"</formula>
    </cfRule>
  </conditionalFormatting>
  <conditionalFormatting sqref="G40">
    <cfRule type="expression" dxfId="1" priority="1">
      <formula>"""LOSE"""</formula>
    </cfRule>
    <cfRule type="expression" dxfId="0" priority="2">
      <formula>"WIN"</formula>
    </cfRule>
  </conditionalFormatting>
  <dataValidations count="1">
    <dataValidation type="list" allowBlank="1" showInputMessage="1" showErrorMessage="1" sqref="G21 G40">
      <formula1>"WIN,LOSE"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71"/>
  <sheetViews>
    <sheetView tabSelected="1" zoomScale="70" zoomScaleNormal="70" workbookViewId="0">
      <selection activeCell="X18" sqref="X18"/>
    </sheetView>
  </sheetViews>
  <sheetFormatPr defaultRowHeight="14.25"/>
  <cols>
    <col min="1" max="1" width="11.875" customWidth="1"/>
    <col min="2" max="2" width="23.25" bestFit="1" customWidth="1"/>
    <col min="3" max="3" width="15.375" customWidth="1"/>
    <col min="4" max="4" width="12" customWidth="1"/>
    <col min="5" max="5" width="13.375" customWidth="1"/>
    <col min="6" max="6" width="11.75" customWidth="1"/>
    <col min="7" max="7" width="12.75" customWidth="1"/>
    <col min="8" max="8" width="11.75" customWidth="1"/>
    <col min="9" max="10" width="13.375" customWidth="1"/>
    <col min="11" max="11" width="12.375" customWidth="1"/>
    <col min="12" max="12" width="13.25" customWidth="1"/>
    <col min="13" max="13" width="14.25" customWidth="1"/>
    <col min="14" max="14" width="14.625" customWidth="1"/>
    <col min="15" max="15" width="15.25" customWidth="1"/>
    <col min="17" max="17" width="14.25" customWidth="1"/>
  </cols>
  <sheetData>
    <row r="1" spans="1:66" ht="27" thickBot="1">
      <c r="A1" s="420" t="s">
        <v>47</v>
      </c>
      <c r="B1" s="421"/>
      <c r="C1" s="421"/>
      <c r="D1" s="421"/>
      <c r="E1" s="42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 ht="15" thickBot="1">
      <c r="A2" s="423" t="s">
        <v>48</v>
      </c>
      <c r="B2" s="424"/>
      <c r="C2" s="425"/>
      <c r="D2" s="429">
        <v>50</v>
      </c>
      <c r="E2" s="431" t="s">
        <v>49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51"/>
      <c r="BE2" s="151"/>
      <c r="BF2" s="152"/>
      <c r="BG2" s="153"/>
      <c r="BH2" s="1"/>
      <c r="BI2" s="1"/>
      <c r="BJ2" s="1"/>
      <c r="BK2" s="1"/>
      <c r="BL2" s="1"/>
      <c r="BM2" s="1"/>
      <c r="BN2" s="1"/>
    </row>
    <row r="3" spans="1:66" ht="15" thickBot="1">
      <c r="A3" s="426"/>
      <c r="B3" s="427"/>
      <c r="C3" s="428"/>
      <c r="D3" s="430"/>
      <c r="E3" s="43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48"/>
      <c r="BE3" s="148"/>
      <c r="BF3" s="156"/>
      <c r="BG3" s="154"/>
      <c r="BH3" s="1"/>
      <c r="BI3" s="1"/>
      <c r="BJ3" s="1"/>
      <c r="BK3" s="1"/>
      <c r="BL3" s="1"/>
      <c r="BM3" s="1"/>
      <c r="BN3" s="1"/>
    </row>
    <row r="4" spans="1:66" ht="18.75" thickBot="1">
      <c r="A4" s="150" t="s">
        <v>50</v>
      </c>
      <c r="B4" s="138" t="s">
        <v>51</v>
      </c>
      <c r="C4" s="138"/>
      <c r="D4" s="138" t="s">
        <v>52</v>
      </c>
      <c r="E4" s="18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295">
        <v>1</v>
      </c>
      <c r="BE4" s="1">
        <f>(E17*100-E17*BG4+BG4)/100</f>
        <v>1156.8313814261767</v>
      </c>
      <c r="BF4" s="154" t="e">
        <f>(BD6*100-BD6*BE6+BE6)/100</f>
        <v>#REF!</v>
      </c>
      <c r="BG4" s="154"/>
      <c r="BH4" s="1"/>
      <c r="BI4" s="1"/>
      <c r="BJ4" s="1"/>
      <c r="BK4" s="1"/>
      <c r="BL4" s="1"/>
      <c r="BM4" s="1"/>
      <c r="BN4" s="1"/>
    </row>
    <row r="5" spans="1:66" ht="21" thickBot="1">
      <c r="A5" s="136" t="s">
        <v>53</v>
      </c>
      <c r="B5" s="417" t="s">
        <v>54</v>
      </c>
      <c r="C5" s="417"/>
      <c r="D5" s="141" t="s">
        <v>55</v>
      </c>
      <c r="E5" s="184">
        <v>1.8</v>
      </c>
      <c r="F5" s="296"/>
      <c r="G5" s="188"/>
      <c r="H5" s="188"/>
      <c r="I5" s="188"/>
      <c r="J5" s="188"/>
      <c r="K5" s="188"/>
      <c r="L5" s="188"/>
      <c r="M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 t="e">
        <f>+BE4*BD4/BE5</f>
        <v>#REF!</v>
      </c>
      <c r="BE5" s="1" t="e">
        <f>(#REF!*100-#REF!*BG5+BG5)/100</f>
        <v>#REF!</v>
      </c>
      <c r="BF5" s="154" t="e">
        <f>(BD5*100-BD5*BE5+BE5)/100</f>
        <v>#REF!</v>
      </c>
      <c r="BG5" s="154"/>
      <c r="BH5" s="1"/>
      <c r="BI5" s="1"/>
      <c r="BJ5" s="1"/>
      <c r="BK5" s="1"/>
      <c r="BL5" s="1"/>
      <c r="BM5" s="1"/>
      <c r="BN5" s="1"/>
    </row>
    <row r="6" spans="1:66" ht="24" thickBot="1">
      <c r="A6" s="136" t="s">
        <v>56</v>
      </c>
      <c r="B6" s="417" t="s">
        <v>57</v>
      </c>
      <c r="C6" s="417"/>
      <c r="D6" s="147">
        <v>1</v>
      </c>
      <c r="E6" s="173">
        <v>1.8</v>
      </c>
      <c r="F6" s="418" t="s">
        <v>58</v>
      </c>
      <c r="G6" s="419"/>
      <c r="H6" s="419"/>
      <c r="I6" s="419"/>
      <c r="J6" s="419"/>
      <c r="K6" s="419"/>
      <c r="L6" s="419"/>
      <c r="M6" s="419"/>
      <c r="N6" s="419"/>
      <c r="O6" s="419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55" t="e">
        <f>+BE5*BD5/BE6</f>
        <v>#REF!</v>
      </c>
      <c r="BE6" s="155" t="e">
        <f>(#REF!*100-#REF!*BG6+BG6)/100</f>
        <v>#REF!</v>
      </c>
      <c r="BF6" s="153">
        <f>BD4</f>
        <v>1</v>
      </c>
      <c r="BG6" s="153"/>
      <c r="BH6" s="1"/>
      <c r="BI6" s="1"/>
      <c r="BJ6" s="1"/>
      <c r="BK6" s="1"/>
    </row>
    <row r="7" spans="1:66" ht="23.25">
      <c r="A7" s="136" t="s">
        <v>59</v>
      </c>
      <c r="B7" s="417" t="s">
        <v>60</v>
      </c>
      <c r="C7" s="417"/>
      <c r="D7" s="147">
        <v>1</v>
      </c>
      <c r="E7" s="173">
        <v>1.8</v>
      </c>
      <c r="F7" s="418"/>
      <c r="G7" s="419"/>
      <c r="H7" s="419"/>
      <c r="I7" s="419"/>
      <c r="J7" s="419"/>
      <c r="K7" s="419"/>
      <c r="L7" s="419"/>
      <c r="M7" s="419"/>
      <c r="N7" s="419"/>
      <c r="O7" s="419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6" ht="23.25">
      <c r="A8" s="136" t="s">
        <v>61</v>
      </c>
      <c r="B8" s="417" t="s">
        <v>62</v>
      </c>
      <c r="C8" s="417"/>
      <c r="D8" s="147">
        <v>1</v>
      </c>
      <c r="E8" s="173">
        <v>1.8</v>
      </c>
      <c r="F8" s="418"/>
      <c r="G8" s="419"/>
      <c r="H8" s="419"/>
      <c r="I8" s="419"/>
      <c r="J8" s="419"/>
      <c r="K8" s="419"/>
      <c r="L8" s="419"/>
      <c r="M8" s="419"/>
      <c r="N8" s="419"/>
      <c r="O8" s="41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6" ht="23.25">
      <c r="A9" s="136" t="s">
        <v>63</v>
      </c>
      <c r="B9" s="417" t="s">
        <v>64</v>
      </c>
      <c r="C9" s="417"/>
      <c r="D9" s="147">
        <v>1</v>
      </c>
      <c r="E9" s="173">
        <v>1.8</v>
      </c>
      <c r="F9" s="418"/>
      <c r="G9" s="419"/>
      <c r="H9" s="419"/>
      <c r="I9" s="419"/>
      <c r="J9" s="419"/>
      <c r="K9" s="419"/>
      <c r="L9" s="419"/>
      <c r="M9" s="419"/>
      <c r="N9" s="419"/>
      <c r="O9" s="41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6" ht="23.25">
      <c r="A10" s="136" t="s">
        <v>65</v>
      </c>
      <c r="B10" s="417" t="s">
        <v>66</v>
      </c>
      <c r="C10" s="417"/>
      <c r="D10" s="147">
        <v>1</v>
      </c>
      <c r="E10" s="173">
        <v>1.8</v>
      </c>
      <c r="F10" s="418"/>
      <c r="G10" s="419"/>
      <c r="H10" s="419"/>
      <c r="I10" s="419"/>
      <c r="J10" s="419"/>
      <c r="K10" s="419"/>
      <c r="L10" s="419"/>
      <c r="M10" s="419"/>
      <c r="N10" s="419"/>
      <c r="O10" s="41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6" ht="23.25">
      <c r="A11" s="136" t="s">
        <v>67</v>
      </c>
      <c r="B11" s="417" t="s">
        <v>68</v>
      </c>
      <c r="C11" s="417"/>
      <c r="D11" s="147">
        <v>1</v>
      </c>
      <c r="E11" s="173">
        <v>1.8</v>
      </c>
      <c r="F11" s="418"/>
      <c r="G11" s="419"/>
      <c r="H11" s="419"/>
      <c r="I11" s="419"/>
      <c r="J11" s="419"/>
      <c r="K11" s="419"/>
      <c r="L11" s="419"/>
      <c r="M11" s="419"/>
      <c r="N11" s="419"/>
      <c r="O11" s="41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6" ht="30">
      <c r="A12" s="136" t="s">
        <v>69</v>
      </c>
      <c r="B12" s="417" t="s">
        <v>70</v>
      </c>
      <c r="C12" s="417"/>
      <c r="D12" s="147">
        <v>1</v>
      </c>
      <c r="E12" s="173">
        <v>1.8</v>
      </c>
      <c r="F12" s="189"/>
      <c r="G12" s="189"/>
      <c r="H12" s="189"/>
      <c r="I12" s="189"/>
      <c r="J12" s="189"/>
      <c r="K12" s="189"/>
      <c r="L12" s="189"/>
      <c r="M12" s="18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6" ht="26.25">
      <c r="A13" s="136" t="s">
        <v>71</v>
      </c>
      <c r="B13" s="417" t="s">
        <v>72</v>
      </c>
      <c r="C13" s="417"/>
      <c r="D13" s="147">
        <v>1</v>
      </c>
      <c r="E13" s="173">
        <v>1.8</v>
      </c>
      <c r="F13" s="175" t="s">
        <v>73</v>
      </c>
      <c r="G13" s="190"/>
      <c r="H13" s="190"/>
      <c r="I13" s="190"/>
      <c r="J13" s="190"/>
      <c r="K13" s="190"/>
      <c r="L13" s="190"/>
      <c r="M13" s="19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6" ht="23.25">
      <c r="A14" s="136" t="s">
        <v>74</v>
      </c>
      <c r="B14" s="417" t="s">
        <v>75</v>
      </c>
      <c r="C14" s="417"/>
      <c r="D14" s="147">
        <v>1</v>
      </c>
      <c r="E14" s="173">
        <v>1.8</v>
      </c>
      <c r="F14" s="176" t="s">
        <v>76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6" ht="25.5">
      <c r="A15" s="136" t="s">
        <v>77</v>
      </c>
      <c r="B15" s="417" t="s">
        <v>78</v>
      </c>
      <c r="C15" s="417"/>
      <c r="D15" s="147">
        <v>1</v>
      </c>
      <c r="E15" s="173">
        <v>1.8</v>
      </c>
      <c r="F15" s="159" t="s">
        <v>79</v>
      </c>
      <c r="G15" s="160"/>
      <c r="H15" s="160"/>
      <c r="I15" s="160"/>
      <c r="J15" s="160"/>
      <c r="K15" s="160"/>
      <c r="L15" s="160"/>
      <c r="M15" s="16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6" ht="24" thickBot="1">
      <c r="A16" s="136" t="s">
        <v>80</v>
      </c>
      <c r="B16" s="417" t="s">
        <v>81</v>
      </c>
      <c r="C16" s="417"/>
      <c r="D16" s="147">
        <v>1</v>
      </c>
      <c r="E16" s="174">
        <v>1.8</v>
      </c>
      <c r="F16" s="376" t="s">
        <v>82</v>
      </c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4" ht="15.75" thickBot="1">
      <c r="A17" s="404" t="s">
        <v>83</v>
      </c>
      <c r="B17" s="404"/>
      <c r="C17" s="404"/>
      <c r="D17" s="404"/>
      <c r="E17" s="137">
        <f>E5*E6*E7*E8*E9*E10*E11*E12*E13*E14*E15*E16</f>
        <v>1156.8313814261767</v>
      </c>
      <c r="F17" s="376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4" ht="18.75" thickBot="1">
      <c r="A18" s="405" t="s">
        <v>48</v>
      </c>
      <c r="B18" s="405"/>
      <c r="C18" s="405"/>
      <c r="D18" s="405"/>
      <c r="E18" s="185">
        <f>D2</f>
        <v>50</v>
      </c>
      <c r="F18" s="191"/>
      <c r="G18" s="192"/>
      <c r="H18" s="192"/>
      <c r="I18" s="192"/>
      <c r="J18" s="192"/>
      <c r="K18" s="192"/>
      <c r="L18" s="192"/>
      <c r="M18" s="19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4" ht="26.25" thickBot="1">
      <c r="A19" s="706" t="s">
        <v>84</v>
      </c>
      <c r="B19" s="707"/>
      <c r="C19" s="707"/>
      <c r="D19" s="707"/>
      <c r="E19" s="711">
        <f>E18*E17</f>
        <v>57841.569071308833</v>
      </c>
      <c r="F19" s="172" t="s">
        <v>85</v>
      </c>
      <c r="G19" s="160"/>
      <c r="H19" s="160"/>
      <c r="I19" s="160"/>
      <c r="J19" s="160"/>
      <c r="K19" s="160"/>
      <c r="L19" s="16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4" ht="21" thickBot="1">
      <c r="A20" s="708" t="s">
        <v>126</v>
      </c>
      <c r="B20" s="709"/>
      <c r="C20" s="709"/>
      <c r="D20" s="710"/>
      <c r="E20" s="712">
        <v>1.6</v>
      </c>
      <c r="F20" s="1"/>
      <c r="G20" s="177" t="s">
        <v>86</v>
      </c>
      <c r="H20" s="178"/>
      <c r="I20" s="158"/>
      <c r="J20" s="179">
        <f>D2</f>
        <v>50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4" ht="20.25">
      <c r="A21" s="704"/>
      <c r="B21" s="704"/>
      <c r="C21" s="704"/>
      <c r="D21" s="704"/>
      <c r="E21" s="1"/>
      <c r="F21" s="1"/>
      <c r="G21" s="180" t="s">
        <v>87</v>
      </c>
      <c r="H21" s="159"/>
      <c r="I21" s="1"/>
      <c r="J21" s="203">
        <f>N29</f>
        <v>63.157211413004354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4" ht="20.25">
      <c r="A22" s="704"/>
      <c r="B22" s="704"/>
      <c r="C22" s="704"/>
      <c r="D22" s="704"/>
      <c r="E22" s="1"/>
      <c r="F22" s="1"/>
      <c r="G22" s="181" t="s">
        <v>88</v>
      </c>
      <c r="H22" s="159"/>
      <c r="I22" s="1"/>
      <c r="J22" s="204">
        <f>J21-J20</f>
        <v>13.157211413004354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4" ht="26.25">
      <c r="A23" s="704"/>
      <c r="B23" s="704"/>
      <c r="C23" s="704"/>
      <c r="D23" s="704"/>
      <c r="E23" s="1"/>
      <c r="F23" s="1"/>
      <c r="G23" s="180"/>
      <c r="H23" s="183" t="s">
        <v>89</v>
      </c>
      <c r="I23" s="1"/>
      <c r="J23" s="186">
        <f>(J21-J20)/J20</f>
        <v>0.2631442282600871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4" ht="15" thickBot="1">
      <c r="A24" s="705"/>
      <c r="B24" s="705"/>
      <c r="C24" s="705"/>
      <c r="D24" s="705"/>
      <c r="E24" s="1"/>
      <c r="F24" s="1"/>
      <c r="G24" s="182"/>
      <c r="H24" s="155"/>
      <c r="I24" s="1"/>
      <c r="J24" s="15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4" ht="15" customHeight="1" thickBot="1">
      <c r="A25" s="409" t="s">
        <v>90</v>
      </c>
      <c r="B25" s="410"/>
      <c r="C25" s="411"/>
      <c r="D25" s="415">
        <f>E18*(E20)</f>
        <v>80</v>
      </c>
      <c r="E25" s="374" t="s">
        <v>91</v>
      </c>
      <c r="F25" s="399" t="s">
        <v>92</v>
      </c>
      <c r="G25" s="401" t="s">
        <v>93</v>
      </c>
      <c r="H25" s="402" t="s">
        <v>94</v>
      </c>
      <c r="I25" s="432" t="s">
        <v>95</v>
      </c>
      <c r="J25" s="435" t="s">
        <v>96</v>
      </c>
      <c r="K25" s="438" t="s">
        <v>97</v>
      </c>
      <c r="L25" s="384" t="s">
        <v>98</v>
      </c>
      <c r="M25" s="387" t="s">
        <v>99</v>
      </c>
      <c r="N25" s="384" t="s">
        <v>100</v>
      </c>
      <c r="O25" s="384" t="s">
        <v>101</v>
      </c>
      <c r="P25" s="390" t="s">
        <v>102</v>
      </c>
      <c r="Q25" s="39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51"/>
      <c r="BE25" s="151"/>
      <c r="BF25" s="152"/>
      <c r="BG25" s="153"/>
      <c r="BH25" s="1"/>
      <c r="BI25" s="1"/>
      <c r="BJ25" s="1"/>
      <c r="BK25" s="1"/>
      <c r="BL25" s="1"/>
    </row>
    <row r="26" spans="1:64" ht="32.25" customHeight="1" thickBot="1">
      <c r="A26" s="412"/>
      <c r="B26" s="413"/>
      <c r="C26" s="414"/>
      <c r="D26" s="416"/>
      <c r="E26" s="375"/>
      <c r="F26" s="400"/>
      <c r="G26" s="401"/>
      <c r="H26" s="402"/>
      <c r="I26" s="433"/>
      <c r="J26" s="436"/>
      <c r="K26" s="439"/>
      <c r="L26" s="385"/>
      <c r="M26" s="388"/>
      <c r="N26" s="385"/>
      <c r="O26" s="385"/>
      <c r="P26" s="392"/>
      <c r="Q26" s="39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48"/>
      <c r="BE26" s="148"/>
      <c r="BF26" s="156"/>
      <c r="BG26" s="154"/>
      <c r="BH26" s="1"/>
      <c r="BI26" s="1"/>
      <c r="BJ26" s="1"/>
      <c r="BK26" s="1"/>
      <c r="BL26" s="1"/>
    </row>
    <row r="27" spans="1:64" ht="18.75" thickBot="1">
      <c r="A27" s="138" t="s">
        <v>50</v>
      </c>
      <c r="B27" s="138" t="s">
        <v>51</v>
      </c>
      <c r="C27" s="138"/>
      <c r="D27" s="138" t="s">
        <v>52</v>
      </c>
      <c r="E27" s="139" t="s">
        <v>103</v>
      </c>
      <c r="F27" s="139" t="s">
        <v>104</v>
      </c>
      <c r="G27" s="139" t="s">
        <v>105</v>
      </c>
      <c r="H27" s="403"/>
      <c r="I27" s="434"/>
      <c r="J27" s="437"/>
      <c r="K27" s="440"/>
      <c r="L27" s="386"/>
      <c r="M27" s="389"/>
      <c r="N27" s="386"/>
      <c r="O27" s="386"/>
      <c r="P27" s="394"/>
      <c r="Q27" s="395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295">
        <v>1</v>
      </c>
      <c r="BE27" s="1">
        <f>(E34*100-E34*BG27+BG27)/100</f>
        <v>11.390625</v>
      </c>
      <c r="BF27" s="154">
        <f>(BD29*100-BD29*BE29+BE29)/100</f>
        <v>0.74293269230769243</v>
      </c>
      <c r="BG27" s="154"/>
      <c r="BH27" s="1"/>
      <c r="BI27" s="1"/>
      <c r="BJ27" s="1"/>
      <c r="BK27" s="1"/>
      <c r="BL27" s="1"/>
    </row>
    <row r="28" spans="1:64" ht="18.75" thickBot="1">
      <c r="A28" s="140" t="s">
        <v>53</v>
      </c>
      <c r="B28" s="447" t="s">
        <v>106</v>
      </c>
      <c r="C28" s="447"/>
      <c r="D28" s="141" t="s">
        <v>55</v>
      </c>
      <c r="E28" s="144">
        <v>2.25</v>
      </c>
      <c r="F28" s="145">
        <v>3.55</v>
      </c>
      <c r="G28" s="146">
        <v>3.25</v>
      </c>
      <c r="H28" s="167" t="s">
        <v>107</v>
      </c>
      <c r="I28" s="396" t="s">
        <v>108</v>
      </c>
      <c r="J28" s="397"/>
      <c r="K28" s="397"/>
      <c r="L28" s="397"/>
      <c r="M28" s="397"/>
      <c r="N28" s="397"/>
      <c r="O28" s="397"/>
      <c r="P28" s="397"/>
      <c r="Q28" s="398"/>
      <c r="R28" s="16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>
        <f>+BE27*BD27/BE28</f>
        <v>0.63380281690140861</v>
      </c>
      <c r="BE28" s="1">
        <f>(F34*100-F34*BG28+BG28)/100</f>
        <v>17.971874999999997</v>
      </c>
      <c r="BF28" s="154">
        <f>(BD28*100-BD28*BE28+BE28)/100</f>
        <v>0.69961531690140855</v>
      </c>
      <c r="BG28" s="154"/>
      <c r="BH28" s="1"/>
      <c r="BI28" s="1"/>
      <c r="BJ28" s="1"/>
      <c r="BK28" s="1"/>
      <c r="BL28" s="1"/>
    </row>
    <row r="29" spans="1:64" ht="16.5" thickBot="1">
      <c r="A29" s="162" t="s">
        <v>56</v>
      </c>
      <c r="B29" s="448" t="s">
        <v>57</v>
      </c>
      <c r="C29" s="448"/>
      <c r="D29" s="163">
        <v>1</v>
      </c>
      <c r="E29" s="164">
        <v>1.5</v>
      </c>
      <c r="F29" s="165">
        <f>E29</f>
        <v>1.5</v>
      </c>
      <c r="G29" s="165">
        <f>E29</f>
        <v>1.5</v>
      </c>
      <c r="H29" s="168">
        <v>1.56</v>
      </c>
      <c r="I29" s="170">
        <v>4.4999999999999998E-2</v>
      </c>
      <c r="J29" s="205">
        <f>(J30*(1-$I29))/(H29-$I29)</f>
        <v>66.13320566806739</v>
      </c>
      <c r="K29" s="206"/>
      <c r="L29" s="207">
        <f>IF(K29="",J29*(H29-1),K29*(H29-1))</f>
        <v>37.03459517411774</v>
      </c>
      <c r="M29" s="208">
        <f>IF(K29="",J29-J29*(I29),K29-J29*(I29))</f>
        <v>63.157211413004354</v>
      </c>
      <c r="N29" s="207">
        <f>M29</f>
        <v>63.157211413004354</v>
      </c>
      <c r="O29" s="209">
        <f>N29-(D25)</f>
        <v>-16.842788586995646</v>
      </c>
      <c r="P29" s="380">
        <f>N29-E18</f>
        <v>13.157211413004354</v>
      </c>
      <c r="Q29" s="38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55">
        <f>+BE28*BD28/BE29</f>
        <v>0.6923076923076924</v>
      </c>
      <c r="BE29" s="155">
        <f>(G34*100-G34*BG29+BG29)/100</f>
        <v>16.453125</v>
      </c>
      <c r="BF29" s="153">
        <f>BD27</f>
        <v>1</v>
      </c>
      <c r="BG29" s="153"/>
      <c r="BH29" s="1"/>
      <c r="BI29" s="1"/>
      <c r="BJ29" s="1"/>
      <c r="BK29" s="1"/>
      <c r="BL29" s="1"/>
    </row>
    <row r="30" spans="1:64" ht="16.5" thickBot="1">
      <c r="A30" s="162" t="s">
        <v>59</v>
      </c>
      <c r="B30" s="448" t="s">
        <v>60</v>
      </c>
      <c r="C30" s="448"/>
      <c r="D30" s="163">
        <v>1</v>
      </c>
      <c r="E30" s="164">
        <v>1.5</v>
      </c>
      <c r="F30" s="165">
        <f t="shared" ref="F30:F33" si="0">E30</f>
        <v>1.5</v>
      </c>
      <c r="G30" s="166">
        <f t="shared" ref="G30:G33" si="1">E30</f>
        <v>1.5</v>
      </c>
      <c r="H30" s="169">
        <v>1.56</v>
      </c>
      <c r="I30" s="170">
        <v>4.4999999999999998E-2</v>
      </c>
      <c r="J30" s="210">
        <f>(J31*(1-$I30))/(H30-$I30)</f>
        <v>104.91288647866189</v>
      </c>
      <c r="K30" s="206"/>
      <c r="L30" s="207">
        <f>IF(K30="",J30*(H30-1),K30*(H30-1))</f>
        <v>58.751216428050661</v>
      </c>
      <c r="M30" s="208">
        <f>IF(K30="",J30-J30*(I30),K30-J30*(I30))</f>
        <v>100.1918065871221</v>
      </c>
      <c r="N30" s="207">
        <f>M30-L29</f>
        <v>63.157211413004362</v>
      </c>
      <c r="O30" s="209">
        <f>N30-(D25)</f>
        <v>-16.842788586995638</v>
      </c>
      <c r="P30" s="380">
        <f>N30-E18</f>
        <v>13.157211413004362</v>
      </c>
      <c r="Q30" s="38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16.5" thickBot="1">
      <c r="A31" s="162" t="s">
        <v>61</v>
      </c>
      <c r="B31" s="448" t="s">
        <v>62</v>
      </c>
      <c r="C31" s="448"/>
      <c r="D31" s="163">
        <v>1</v>
      </c>
      <c r="E31" s="164">
        <v>1.5</v>
      </c>
      <c r="F31" s="165">
        <f t="shared" si="0"/>
        <v>1.5</v>
      </c>
      <c r="G31" s="166">
        <f t="shared" si="1"/>
        <v>1.5</v>
      </c>
      <c r="H31" s="169">
        <v>1.56</v>
      </c>
      <c r="I31" s="170">
        <v>4.4999999999999998E-2</v>
      </c>
      <c r="J31" s="210">
        <f>(J32*(1-$I31))/(H31-$I31)</f>
        <v>166.43248483264165</v>
      </c>
      <c r="K31" s="171"/>
      <c r="L31" s="207">
        <f>IF(K31="",J31*(H31-1),K31*(H31-1))</f>
        <v>93.202191506279334</v>
      </c>
      <c r="M31" s="208">
        <f>IF(K31="",J31-J31*(I31),K31-J31*(I31))</f>
        <v>158.94302301517277</v>
      </c>
      <c r="N31" s="207">
        <f>M31-L30-L29</f>
        <v>63.157211413004362</v>
      </c>
      <c r="O31" s="209">
        <f>N31-(D25)</f>
        <v>-16.842788586995638</v>
      </c>
      <c r="P31" s="380">
        <f>N31-E18</f>
        <v>13.157211413004362</v>
      </c>
      <c r="Q31" s="38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16.5" thickBot="1">
      <c r="A32" s="162" t="s">
        <v>63</v>
      </c>
      <c r="B32" s="448" t="s">
        <v>64</v>
      </c>
      <c r="C32" s="448"/>
      <c r="D32" s="163">
        <v>1</v>
      </c>
      <c r="E32" s="164">
        <v>1.5</v>
      </c>
      <c r="F32" s="165">
        <f t="shared" si="0"/>
        <v>1.5</v>
      </c>
      <c r="G32" s="166">
        <f t="shared" si="1"/>
        <v>1.5</v>
      </c>
      <c r="H32" s="169">
        <v>1.56</v>
      </c>
      <c r="I32" s="170">
        <v>4.4999999999999998E-2</v>
      </c>
      <c r="J32" s="210">
        <f>(J33*(1-$I32))/(H32-$I32)</f>
        <v>264.026402640264</v>
      </c>
      <c r="K32" s="171"/>
      <c r="L32" s="207">
        <f t="shared" ref="L32:L33" si="2">IF(K32="",J32*(H32-1),K32*(H32-1))</f>
        <v>147.85478547854785</v>
      </c>
      <c r="M32" s="208">
        <f>IF(K32="",J32-J32*(I32),K32-J32*(I32))</f>
        <v>252.14521452145212</v>
      </c>
      <c r="N32" s="207">
        <f>M32-L31-L30-L29</f>
        <v>63.15721141300439</v>
      </c>
      <c r="O32" s="209">
        <f>N32-(D25)</f>
        <v>-16.84278858699561</v>
      </c>
      <c r="P32" s="380">
        <f>N32-E18</f>
        <v>13.15721141300439</v>
      </c>
      <c r="Q32" s="38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16.5" thickBot="1">
      <c r="A33" s="162" t="s">
        <v>65</v>
      </c>
      <c r="B33" s="448" t="s">
        <v>66</v>
      </c>
      <c r="C33" s="448"/>
      <c r="D33" s="163">
        <v>1</v>
      </c>
      <c r="E33" s="164">
        <v>1</v>
      </c>
      <c r="F33" s="165">
        <f t="shared" si="0"/>
        <v>1</v>
      </c>
      <c r="G33" s="166">
        <f t="shared" si="1"/>
        <v>1</v>
      </c>
      <c r="H33" s="169">
        <v>1</v>
      </c>
      <c r="I33" s="170">
        <v>4.4999999999999998E-2</v>
      </c>
      <c r="J33" s="210">
        <f>(((D25*(K35-1)+D25))/($H33-I33))</f>
        <v>418.84816753926702</v>
      </c>
      <c r="K33" s="288"/>
      <c r="L33" s="289">
        <f t="shared" si="2"/>
        <v>0</v>
      </c>
      <c r="M33" s="208">
        <f>IF(K33="",J33-J33*(I33),K33-J33*(I33))</f>
        <v>400</v>
      </c>
      <c r="N33" s="207">
        <f>M33-L32-L31-L30-L29</f>
        <v>63.15721141300439</v>
      </c>
      <c r="O33" s="209">
        <f>N33-(D25)</f>
        <v>-16.84278858699561</v>
      </c>
      <c r="P33" s="382">
        <f>N33-E18</f>
        <v>13.15721141300439</v>
      </c>
      <c r="Q33" s="38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15.75" thickBot="1">
      <c r="A34" s="404" t="s">
        <v>83</v>
      </c>
      <c r="B34" s="404"/>
      <c r="C34" s="404"/>
      <c r="D34" s="404"/>
      <c r="E34" s="142">
        <f>E28*E29*E30*E31*E32*E33</f>
        <v>11.390625</v>
      </c>
      <c r="F34" s="142">
        <f t="shared" ref="F34:G34" si="3">F28*F29*F30*F31*F32*F33</f>
        <v>17.971874999999997</v>
      </c>
      <c r="G34" s="142">
        <f t="shared" si="3"/>
        <v>16.453125</v>
      </c>
      <c r="H34" s="282" t="s">
        <v>109</v>
      </c>
      <c r="I34" s="283" t="s">
        <v>110</v>
      </c>
      <c r="J34" s="286" t="s">
        <v>111</v>
      </c>
      <c r="K34" s="467" t="s">
        <v>112</v>
      </c>
      <c r="L34" s="468"/>
      <c r="M34" s="406" t="s">
        <v>113</v>
      </c>
      <c r="N34" s="406"/>
      <c r="O34" s="406"/>
      <c r="P34" s="406"/>
      <c r="Q34" s="40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21" thickBot="1">
      <c r="A35" s="471" t="s">
        <v>48</v>
      </c>
      <c r="B35" s="471"/>
      <c r="C35" s="471"/>
      <c r="D35" s="471"/>
      <c r="E35" s="211">
        <f>D36/SUM(BD27:BD29)*BD27</f>
        <v>34.392175128085697</v>
      </c>
      <c r="F35" s="212">
        <f>D36/SUM(BD27:BD29)*BD28</f>
        <v>21.797857475547278</v>
      </c>
      <c r="G35" s="213">
        <f>D36/SUM(BD27:BD29)*BD29</f>
        <v>23.809967396367025</v>
      </c>
      <c r="H35" s="284">
        <v>0</v>
      </c>
      <c r="I35" s="285">
        <f>IF(G34*G35&gt;J35,J35/D25,G34)</f>
        <v>16.453125</v>
      </c>
      <c r="J35" s="287">
        <v>400</v>
      </c>
      <c r="K35" s="469">
        <f>H37/D25</f>
        <v>5</v>
      </c>
      <c r="L35" s="470"/>
      <c r="M35" s="407"/>
      <c r="N35" s="407"/>
      <c r="O35" s="407"/>
      <c r="P35" s="407"/>
      <c r="Q35" s="407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37.5" customHeight="1" thickTop="1" thickBot="1">
      <c r="A36" s="472" t="s">
        <v>114</v>
      </c>
      <c r="B36" s="472"/>
      <c r="C36" s="472"/>
      <c r="D36" s="214">
        <f>D25*(1)</f>
        <v>80</v>
      </c>
      <c r="E36" s="473">
        <f>E35+F35+G35</f>
        <v>80</v>
      </c>
      <c r="F36" s="473"/>
      <c r="G36" s="473"/>
      <c r="H36" s="474" t="s">
        <v>115</v>
      </c>
      <c r="I36" s="475"/>
      <c r="J36" s="149" t="s">
        <v>116</v>
      </c>
      <c r="K36" s="476" t="s">
        <v>117</v>
      </c>
      <c r="L36" s="477"/>
      <c r="M36" s="478" t="s">
        <v>118</v>
      </c>
      <c r="N36" s="479"/>
      <c r="O36" s="480" t="s">
        <v>119</v>
      </c>
      <c r="P36" s="481"/>
      <c r="Q36" s="482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15" thickBot="1">
      <c r="A37" s="449" t="s">
        <v>120</v>
      </c>
      <c r="B37" s="450"/>
      <c r="C37" s="450"/>
      <c r="D37" s="451"/>
      <c r="E37" s="455">
        <f>E34*E35</f>
        <v>391.74836981835114</v>
      </c>
      <c r="F37" s="455">
        <f>F34*F35</f>
        <v>391.74836981835119</v>
      </c>
      <c r="G37" s="455">
        <f>G34*G35</f>
        <v>391.74836981835119</v>
      </c>
      <c r="H37" s="378">
        <f>IF(G37*1.05&gt;J35,J35,G37*1.05)</f>
        <v>400</v>
      </c>
      <c r="I37" s="378"/>
      <c r="J37" s="457">
        <f>D36-D25</f>
        <v>0</v>
      </c>
      <c r="K37" s="459">
        <f>L29+L30+L31+L32+L33</f>
        <v>336.8427885869956</v>
      </c>
      <c r="L37" s="459"/>
      <c r="M37" s="461">
        <f>E18</f>
        <v>50</v>
      </c>
      <c r="N37" s="461"/>
      <c r="O37" s="463">
        <f>H37-K37-M37</f>
        <v>13.157211413004404</v>
      </c>
      <c r="P37" s="461"/>
      <c r="Q37" s="46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15" thickBot="1">
      <c r="A38" s="452"/>
      <c r="B38" s="453"/>
      <c r="C38" s="453"/>
      <c r="D38" s="454"/>
      <c r="E38" s="456"/>
      <c r="F38" s="456"/>
      <c r="G38" s="456"/>
      <c r="H38" s="379"/>
      <c r="I38" s="379"/>
      <c r="J38" s="458"/>
      <c r="K38" s="460"/>
      <c r="L38" s="460"/>
      <c r="M38" s="462"/>
      <c r="N38" s="462"/>
      <c r="O38" s="465"/>
      <c r="P38" s="462"/>
      <c r="Q38" s="466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>
      <c r="A39" s="441" t="s">
        <v>121</v>
      </c>
      <c r="B39" s="442"/>
      <c r="C39" s="442"/>
      <c r="D39" s="442"/>
      <c r="E39" s="442"/>
      <c r="F39" s="442"/>
      <c r="G39" s="442"/>
      <c r="H39" s="442"/>
      <c r="I39" s="442"/>
      <c r="J39" s="442"/>
      <c r="K39" s="442"/>
      <c r="L39" s="442"/>
      <c r="M39" s="442"/>
      <c r="N39" s="442"/>
      <c r="O39" s="442"/>
      <c r="P39" s="442"/>
      <c r="Q39" s="44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15" thickBot="1">
      <c r="A40" s="444"/>
      <c r="B40" s="445"/>
      <c r="C40" s="445"/>
      <c r="D40" s="445"/>
      <c r="E40" s="445"/>
      <c r="F40" s="445"/>
      <c r="G40" s="445"/>
      <c r="H40" s="445"/>
      <c r="I40" s="445"/>
      <c r="J40" s="445"/>
      <c r="K40" s="445"/>
      <c r="L40" s="445"/>
      <c r="M40" s="445"/>
      <c r="N40" s="445"/>
      <c r="O40" s="445"/>
      <c r="P40" s="445"/>
      <c r="Q40" s="446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4" ht="23.25">
      <c r="A46" s="349"/>
      <c r="B46" s="367" t="s">
        <v>122</v>
      </c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4" ht="18.75" customHeight="1">
      <c r="A47" s="295"/>
      <c r="B47" s="370" t="s">
        <v>123</v>
      </c>
      <c r="C47" s="371"/>
      <c r="D47" s="298"/>
      <c r="E47" s="298" t="s">
        <v>124</v>
      </c>
      <c r="F47" s="371" t="s">
        <v>125</v>
      </c>
      <c r="G47" s="371"/>
      <c r="H47" s="371"/>
      <c r="I47" s="298"/>
      <c r="J47" s="298" t="s">
        <v>126</v>
      </c>
      <c r="K47" s="372" t="s">
        <v>127</v>
      </c>
      <c r="L47" s="372"/>
      <c r="M47" s="372"/>
      <c r="N47" s="298"/>
      <c r="O47" s="372" t="s">
        <v>128</v>
      </c>
      <c r="P47" s="372"/>
      <c r="Q47" s="373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4" ht="18">
      <c r="A48" s="295"/>
      <c r="B48" s="362">
        <v>30</v>
      </c>
      <c r="C48" s="363"/>
      <c r="D48" s="300"/>
      <c r="E48" s="300">
        <v>30</v>
      </c>
      <c r="F48" s="300"/>
      <c r="G48" s="301">
        <f>B48*E48</f>
        <v>900</v>
      </c>
      <c r="H48" s="300"/>
      <c r="I48" s="300"/>
      <c r="J48" s="350">
        <f>G48*1.5</f>
        <v>1350</v>
      </c>
      <c r="K48" s="302">
        <v>0.2</v>
      </c>
      <c r="L48" s="300" t="s">
        <v>129</v>
      </c>
      <c r="M48" s="302">
        <v>0.25</v>
      </c>
      <c r="N48" s="300"/>
      <c r="O48" s="301">
        <f>G48*K48</f>
        <v>180</v>
      </c>
      <c r="P48" s="300" t="s">
        <v>130</v>
      </c>
      <c r="Q48" s="303">
        <f>G48*M48</f>
        <v>225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18">
      <c r="A49" s="295"/>
      <c r="B49" s="362">
        <v>40</v>
      </c>
      <c r="C49" s="363"/>
      <c r="D49" s="300"/>
      <c r="E49" s="300">
        <v>30</v>
      </c>
      <c r="F49" s="300"/>
      <c r="G49" s="301">
        <f>B49*E49</f>
        <v>1200</v>
      </c>
      <c r="H49" s="300"/>
      <c r="I49" s="300"/>
      <c r="J49" s="350">
        <f>G49*1.5</f>
        <v>1800</v>
      </c>
      <c r="K49" s="302">
        <v>0.2</v>
      </c>
      <c r="L49" s="300" t="s">
        <v>129</v>
      </c>
      <c r="M49" s="302">
        <v>0.25</v>
      </c>
      <c r="N49" s="300"/>
      <c r="O49" s="301">
        <f>G49*K49</f>
        <v>240</v>
      </c>
      <c r="P49" s="300" t="s">
        <v>130</v>
      </c>
      <c r="Q49" s="303">
        <f>G49*M49</f>
        <v>300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18">
      <c r="A50" s="1"/>
      <c r="B50" s="362">
        <v>50</v>
      </c>
      <c r="C50" s="363"/>
      <c r="D50" s="300"/>
      <c r="E50" s="300">
        <v>30</v>
      </c>
      <c r="F50" s="300"/>
      <c r="G50" s="301">
        <f>B50*E50</f>
        <v>1500</v>
      </c>
      <c r="H50" s="300"/>
      <c r="I50" s="300"/>
      <c r="J50" s="350">
        <f>G50*1.5</f>
        <v>2250</v>
      </c>
      <c r="K50" s="302">
        <v>0.2</v>
      </c>
      <c r="L50" s="300" t="s">
        <v>129</v>
      </c>
      <c r="M50" s="302">
        <v>0.25</v>
      </c>
      <c r="N50" s="300"/>
      <c r="O50" s="301">
        <f>G50*K50</f>
        <v>300</v>
      </c>
      <c r="P50" s="300" t="s">
        <v>130</v>
      </c>
      <c r="Q50" s="303">
        <f>G50*M50</f>
        <v>375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18">
      <c r="A51" s="1"/>
      <c r="B51" s="362">
        <v>100</v>
      </c>
      <c r="C51" s="363"/>
      <c r="D51" s="351"/>
      <c r="E51" s="300">
        <v>30</v>
      </c>
      <c r="F51" s="300"/>
      <c r="G51" s="301">
        <f>B51*E51</f>
        <v>3000</v>
      </c>
      <c r="H51" s="300"/>
      <c r="I51" s="300"/>
      <c r="J51" s="350">
        <f>G51*1.5</f>
        <v>4500</v>
      </c>
      <c r="K51" s="302">
        <v>0.2</v>
      </c>
      <c r="L51" s="300" t="s">
        <v>129</v>
      </c>
      <c r="M51" s="302">
        <v>0.25</v>
      </c>
      <c r="N51" s="300"/>
      <c r="O51" s="301">
        <f>G51*K51</f>
        <v>600</v>
      </c>
      <c r="P51" s="300" t="s">
        <v>130</v>
      </c>
      <c r="Q51" s="303">
        <f>G51*M51</f>
        <v>750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23.25">
      <c r="A52" s="1"/>
      <c r="B52" s="364" t="s">
        <v>131</v>
      </c>
      <c r="C52" s="365"/>
      <c r="D52" s="36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6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>
      <c r="A53" s="1"/>
      <c r="B53" s="295"/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spans="1:6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1:6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1:6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1:6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1:6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1:6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1:6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1:6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1:6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1:6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1:6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1:6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1:6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1:6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1:6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spans="1:6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1:6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1:6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1:6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1:6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1:6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1:6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spans="1:6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1:6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1:6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1:6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1:6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1:6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1:6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1:6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1:6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1:6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1:6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1:6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1:6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1:6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spans="1:6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1:6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1:6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1:6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1:6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1:6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1:6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1:6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1:60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1:60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spans="1:60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spans="1:60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1:60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1:60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spans="1:60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1:60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1:6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1:60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1:60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1:60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1:60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1:60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spans="1:60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1:60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1:60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1:60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1:6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1:60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1:60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1:60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1:60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1:60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spans="1:60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spans="1:60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1:60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spans="1:60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1:6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spans="1:60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1:60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1:60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1:60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spans="1:60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spans="1:60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1:60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1:60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1:60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1:6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1:60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spans="1:60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1:60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1:60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1:60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</row>
    <row r="246" spans="1:60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spans="1:60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spans="1:60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spans="1:60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spans="1:6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spans="1:60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</row>
    <row r="252" spans="1:60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spans="1:60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</row>
    <row r="254" spans="1:60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spans="1:60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</row>
    <row r="256" spans="1:60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spans="1:60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spans="1:60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spans="1:60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spans="1: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spans="1:60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spans="1:60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spans="1:60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spans="1:60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spans="1:60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spans="1:60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spans="1:60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</row>
    <row r="268" spans="1:60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spans="1:60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</row>
    <row r="270" spans="1:6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spans="1:60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spans="1:60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spans="1:60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spans="1:60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spans="1:60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</row>
    <row r="276" spans="1:60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spans="1:60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</row>
    <row r="278" spans="1:60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</row>
    <row r="279" spans="1:60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</row>
    <row r="280" spans="1:6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</row>
    <row r="281" spans="1:60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</row>
    <row r="282" spans="1:60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</row>
    <row r="283" spans="1:60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</row>
    <row r="284" spans="1:60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</row>
    <row r="285" spans="1:60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</row>
    <row r="286" spans="1:60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</row>
    <row r="287" spans="1:60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</row>
    <row r="288" spans="1:60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</row>
    <row r="289" spans="1:60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</row>
    <row r="290" spans="1:6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</row>
    <row r="291" spans="1:60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</row>
    <row r="292" spans="1:60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</row>
    <row r="293" spans="1:60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</row>
    <row r="294" spans="1:60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</row>
    <row r="295" spans="1:60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</row>
    <row r="296" spans="1:60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</row>
    <row r="297" spans="1:60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</row>
    <row r="298" spans="1:60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</row>
    <row r="299" spans="1:60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</row>
    <row r="300" spans="1:6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</row>
    <row r="301" spans="1:60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</row>
    <row r="302" spans="1:60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</row>
    <row r="303" spans="1:60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</row>
    <row r="304" spans="1:60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</row>
    <row r="305" spans="1:60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</row>
    <row r="306" spans="1:60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</row>
    <row r="307" spans="1:60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</row>
    <row r="308" spans="1:60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</row>
    <row r="309" spans="1:60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</row>
    <row r="310" spans="1:6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</row>
    <row r="311" spans="1:60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</row>
    <row r="312" spans="1:60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</row>
    <row r="313" spans="1:60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</row>
    <row r="314" spans="1:60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</row>
    <row r="315" spans="1:60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</row>
    <row r="316" spans="1:60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</row>
    <row r="317" spans="1:60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</row>
    <row r="318" spans="1:60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</row>
    <row r="319" spans="1:60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</row>
    <row r="320" spans="1:6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</row>
    <row r="321" spans="1:60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</row>
    <row r="322" spans="1:60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</row>
    <row r="323" spans="1:60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</row>
    <row r="324" spans="1:60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</row>
    <row r="325" spans="1:60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</row>
    <row r="326" spans="1:60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</row>
    <row r="327" spans="1:60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</row>
    <row r="328" spans="1:60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</row>
    <row r="329" spans="1:60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</row>
    <row r="330" spans="1:6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</row>
    <row r="331" spans="1:60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</row>
    <row r="332" spans="1:60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</row>
    <row r="333" spans="1:60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</row>
    <row r="334" spans="1:60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</row>
    <row r="335" spans="1:60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</row>
    <row r="336" spans="1:60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</row>
    <row r="337" spans="1:6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</row>
    <row r="338" spans="1:60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</row>
    <row r="339" spans="1:60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</row>
    <row r="340" spans="1:6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</row>
    <row r="341" spans="1:60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</row>
    <row r="342" spans="1:60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</row>
    <row r="343" spans="1:60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</row>
    <row r="344" spans="1:60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</row>
    <row r="345" spans="1:60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</row>
    <row r="346" spans="1:60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</row>
    <row r="347" spans="1:60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</row>
    <row r="348" spans="1:60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</row>
    <row r="349" spans="1:60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</row>
    <row r="350" spans="1:6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</row>
    <row r="351" spans="1:60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</row>
    <row r="352" spans="1:60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</row>
    <row r="353" spans="1:60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</row>
    <row r="354" spans="1:60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</row>
    <row r="355" spans="1:60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</row>
    <row r="356" spans="1:60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</row>
    <row r="357" spans="1:60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</row>
    <row r="358" spans="1:60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</row>
    <row r="359" spans="1:60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</row>
    <row r="360" spans="1: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</row>
    <row r="361" spans="1:60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</row>
    <row r="362" spans="1:60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</row>
    <row r="363" spans="1:60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</row>
    <row r="364" spans="1:60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</row>
    <row r="365" spans="1:60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</row>
    <row r="366" spans="1:60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</row>
    <row r="367" spans="1:60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</row>
    <row r="368" spans="1:60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</row>
    <row r="369" spans="1:60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</row>
    <row r="370" spans="1:6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</row>
    <row r="371" spans="1:60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</row>
    <row r="372" spans="1:60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</row>
    <row r="373" spans="1:60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</row>
    <row r="374" spans="1:60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</row>
    <row r="375" spans="1:60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</row>
    <row r="376" spans="1:60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</row>
    <row r="377" spans="1:60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</row>
    <row r="378" spans="1:60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</row>
    <row r="379" spans="1:60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</row>
    <row r="380" spans="1:6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</row>
    <row r="381" spans="1:60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</row>
    <row r="382" spans="1:60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</row>
    <row r="383" spans="1:60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</row>
    <row r="384" spans="1:60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</row>
    <row r="385" spans="1:60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</row>
    <row r="386" spans="1:60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</row>
    <row r="387" spans="1:60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</row>
    <row r="388" spans="1:60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</row>
    <row r="389" spans="1:60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</row>
    <row r="390" spans="1:6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</row>
    <row r="391" spans="1:60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</row>
    <row r="392" spans="1:60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</row>
    <row r="393" spans="1:60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</row>
    <row r="394" spans="1:60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</row>
    <row r="395" spans="1:60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</row>
    <row r="396" spans="1:60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</row>
    <row r="397" spans="1:60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</row>
    <row r="398" spans="1:60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</row>
    <row r="399" spans="1:60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</row>
    <row r="400" spans="1:6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</row>
    <row r="401" spans="1:60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</row>
    <row r="402" spans="1:60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</row>
    <row r="403" spans="1:60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</row>
    <row r="404" spans="1:60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</row>
    <row r="405" spans="1:60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</row>
    <row r="406" spans="1:60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</row>
    <row r="407" spans="1:60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</row>
    <row r="408" spans="1:60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</row>
    <row r="409" spans="1:60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</row>
    <row r="410" spans="1:6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</row>
    <row r="411" spans="1:60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</row>
    <row r="412" spans="1:60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</row>
    <row r="413" spans="1:60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</row>
    <row r="414" spans="1:60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</row>
    <row r="415" spans="1:60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</row>
    <row r="416" spans="1:60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</row>
    <row r="417" spans="1:60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</row>
    <row r="418" spans="1:60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</row>
    <row r="419" spans="1:60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</row>
    <row r="420" spans="1:6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</row>
    <row r="421" spans="1:60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</row>
    <row r="422" spans="1:60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</row>
    <row r="423" spans="1:60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</row>
    <row r="424" spans="1:60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</row>
    <row r="425" spans="1:60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</row>
    <row r="426" spans="1:60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</row>
    <row r="427" spans="1:60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</row>
    <row r="428" spans="1:60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</row>
    <row r="429" spans="1:60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</row>
    <row r="430" spans="1:6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</row>
    <row r="431" spans="1:60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</row>
    <row r="432" spans="1:60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</row>
    <row r="433" spans="1:60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</row>
    <row r="434" spans="1:60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</row>
    <row r="435" spans="1:60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</row>
    <row r="436" spans="1:60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</row>
    <row r="437" spans="1:60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</row>
    <row r="438" spans="1:60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</row>
    <row r="439" spans="1:60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</row>
    <row r="440" spans="1:6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</row>
    <row r="441" spans="1:60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</row>
    <row r="442" spans="1:60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</row>
    <row r="443" spans="1:60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</row>
    <row r="444" spans="1:60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</row>
    <row r="445" spans="1:60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</row>
    <row r="446" spans="1:60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</row>
    <row r="447" spans="1:60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</row>
    <row r="448" spans="1:60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</row>
    <row r="449" spans="1:60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</row>
    <row r="450" spans="1:6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</row>
    <row r="451" spans="1:60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</row>
    <row r="452" spans="1:60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</row>
    <row r="453" spans="1:60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</row>
    <row r="454" spans="1:60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</row>
    <row r="455" spans="1:60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</row>
    <row r="456" spans="1:60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</row>
    <row r="457" spans="1:60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</row>
    <row r="458" spans="1:60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</row>
    <row r="459" spans="1:60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</row>
    <row r="460" spans="1: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</row>
    <row r="461" spans="1:60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</row>
    <row r="462" spans="1:60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</row>
    <row r="463" spans="1:60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</row>
    <row r="464" spans="1:6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</row>
    <row r="465" spans="1:6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</row>
    <row r="466" spans="1:60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</row>
    <row r="467" spans="1:6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</row>
    <row r="468" spans="1:6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</row>
    <row r="469" spans="1:6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</row>
    <row r="470" spans="1:6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</row>
    <row r="471" spans="1:6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</row>
    <row r="472" spans="1:6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</row>
    <row r="473" spans="1:6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</row>
    <row r="474" spans="1:6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</row>
    <row r="475" spans="1:6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</row>
    <row r="476" spans="1:6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</row>
    <row r="477" spans="1:60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</row>
    <row r="478" spans="1:6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</row>
    <row r="479" spans="1:60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</row>
    <row r="480" spans="1:6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</row>
    <row r="481" spans="1:6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</row>
    <row r="482" spans="1:6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</row>
    <row r="483" spans="1:6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</row>
    <row r="484" spans="1:6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</row>
    <row r="485" spans="1:6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</row>
    <row r="486" spans="1:6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</row>
    <row r="487" spans="1:6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</row>
    <row r="488" spans="1:60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</row>
    <row r="489" spans="1:6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</row>
    <row r="490" spans="1:6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</row>
    <row r="491" spans="1:6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</row>
    <row r="492" spans="1:6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</row>
    <row r="493" spans="1:6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</row>
    <row r="494" spans="1:6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</row>
    <row r="495" spans="1:6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</row>
    <row r="496" spans="1:6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</row>
    <row r="497" spans="1:60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</row>
    <row r="498" spans="1:60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</row>
    <row r="499" spans="1:60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</row>
    <row r="500" spans="1:6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</row>
    <row r="501" spans="1:60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</row>
    <row r="502" spans="1:60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</row>
    <row r="503" spans="1:60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</row>
    <row r="504" spans="1:60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</row>
    <row r="505" spans="1:60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</row>
    <row r="506" spans="1:60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</row>
    <row r="507" spans="1:60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</row>
    <row r="508" spans="1:60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</row>
    <row r="509" spans="1:60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</row>
    <row r="510" spans="1:6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</row>
    <row r="511" spans="1:60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</row>
    <row r="512" spans="1:60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</row>
    <row r="513" spans="1:60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</row>
    <row r="514" spans="1:60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</row>
    <row r="515" spans="1:60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</row>
    <row r="516" spans="1:60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</row>
    <row r="517" spans="1:60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</row>
    <row r="518" spans="1:60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</row>
    <row r="519" spans="1:60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</row>
    <row r="520" spans="1:6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</row>
    <row r="521" spans="1:60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</row>
    <row r="522" spans="1:60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</row>
    <row r="523" spans="1:60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</row>
    <row r="524" spans="1:60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</row>
    <row r="525" spans="1:60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</row>
    <row r="526" spans="1:60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</row>
    <row r="527" spans="1:60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</row>
    <row r="528" spans="1:60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</row>
    <row r="529" spans="1:60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</row>
    <row r="530" spans="1:6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</row>
    <row r="531" spans="1:60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</row>
    <row r="532" spans="1:60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</row>
    <row r="533" spans="1:60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</row>
    <row r="534" spans="1:60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</row>
    <row r="535" spans="1:60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</row>
    <row r="536" spans="1:60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</row>
    <row r="537" spans="1:60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</row>
    <row r="538" spans="1:60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</row>
    <row r="539" spans="1:60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</row>
    <row r="540" spans="1:6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</row>
    <row r="541" spans="1:60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</row>
    <row r="542" spans="1:60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</row>
    <row r="543" spans="1:60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</row>
    <row r="544" spans="1:60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</row>
    <row r="545" spans="1:60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</row>
    <row r="546" spans="1:60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</row>
    <row r="547" spans="1:60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</row>
    <row r="548" spans="1:60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</row>
    <row r="549" spans="1:60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</row>
    <row r="550" spans="1:6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</row>
    <row r="551" spans="1:60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</row>
    <row r="552" spans="1:60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</row>
    <row r="553" spans="1:60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</row>
    <row r="554" spans="1:60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</row>
    <row r="555" spans="1:60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</row>
    <row r="556" spans="1:60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</row>
    <row r="557" spans="1:60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</row>
    <row r="558" spans="1:60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</row>
    <row r="559" spans="1:60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</row>
    <row r="560" spans="1: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</row>
    <row r="561" spans="1:60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</row>
    <row r="562" spans="1:60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</row>
    <row r="563" spans="1:60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</row>
    <row r="564" spans="1:60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</row>
    <row r="565" spans="1:60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</row>
    <row r="566" spans="1:60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</row>
    <row r="567" spans="1:60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</row>
    <row r="568" spans="1:60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</row>
    <row r="569" spans="1:60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</row>
    <row r="570" spans="1:6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</row>
    <row r="571" spans="1:60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</row>
    <row r="572" spans="1:60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</row>
    <row r="573" spans="1:60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</row>
    <row r="574" spans="1:60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</row>
    <row r="575" spans="1:60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</row>
    <row r="576" spans="1:60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</row>
    <row r="577" spans="1:60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</row>
    <row r="578" spans="1:60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</row>
    <row r="579" spans="1:60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</row>
    <row r="580" spans="1:6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</row>
    <row r="581" spans="1:60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</row>
    <row r="582" spans="1:60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</row>
    <row r="583" spans="1:60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</row>
    <row r="584" spans="1:60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</row>
    <row r="585" spans="1:60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</row>
    <row r="586" spans="1:60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</row>
    <row r="587" spans="1:60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</row>
    <row r="588" spans="1:60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</row>
    <row r="589" spans="1:60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</row>
    <row r="590" spans="1:6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</row>
    <row r="591" spans="1:60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</row>
    <row r="592" spans="1:60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</row>
    <row r="593" spans="1:60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</row>
    <row r="594" spans="1:60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</row>
    <row r="595" spans="1:60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</row>
    <row r="596" spans="1:60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</row>
    <row r="597" spans="1:60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</row>
    <row r="598" spans="1:60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</row>
    <row r="599" spans="1:60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</row>
    <row r="600" spans="1:6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</row>
    <row r="601" spans="1:60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</row>
    <row r="602" spans="1:60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</row>
    <row r="603" spans="1:60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</row>
    <row r="604" spans="1:60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</row>
    <row r="605" spans="1:60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</row>
    <row r="606" spans="1:60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</row>
    <row r="607" spans="1:60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</row>
    <row r="608" spans="1:60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</row>
    <row r="609" spans="1:60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</row>
    <row r="610" spans="1:6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</row>
    <row r="611" spans="1:60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</row>
    <row r="612" spans="1:60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</row>
    <row r="613" spans="1:60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</row>
    <row r="614" spans="1:60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</row>
    <row r="615" spans="1:60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</row>
    <row r="616" spans="1:60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</row>
    <row r="617" spans="1:60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</row>
    <row r="618" spans="1:60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</row>
    <row r="619" spans="1:60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</row>
    <row r="620" spans="1:6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</row>
    <row r="621" spans="1:60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</row>
    <row r="622" spans="1:60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</row>
    <row r="623" spans="1:60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</row>
    <row r="624" spans="1:60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</row>
    <row r="625" spans="1:60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</row>
    <row r="626" spans="1:60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</row>
    <row r="627" spans="1:60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</row>
    <row r="628" spans="1:60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</row>
    <row r="629" spans="1:60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</row>
    <row r="630" spans="1:6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</row>
    <row r="631" spans="1:60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</row>
    <row r="632" spans="1:60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</row>
    <row r="633" spans="1:60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</row>
    <row r="634" spans="1:60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</row>
    <row r="635" spans="1:60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</row>
    <row r="636" spans="1:60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</row>
    <row r="637" spans="1:60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</row>
    <row r="638" spans="1:60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</row>
    <row r="639" spans="1:60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</row>
    <row r="640" spans="1:6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</row>
    <row r="641" spans="1:60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</row>
    <row r="642" spans="1:60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</row>
    <row r="643" spans="1:60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</row>
    <row r="644" spans="1:60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</row>
    <row r="645" spans="1:60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</row>
    <row r="646" spans="1:60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</row>
    <row r="647" spans="1:60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</row>
    <row r="648" spans="1:60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</row>
    <row r="649" spans="1:60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</row>
    <row r="650" spans="1:6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</row>
    <row r="651" spans="1:60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</row>
    <row r="652" spans="1:60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</row>
    <row r="653" spans="1:60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</row>
    <row r="654" spans="1:60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</row>
    <row r="655" spans="1:60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</row>
    <row r="656" spans="1:60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</row>
    <row r="657" spans="1:60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</row>
    <row r="658" spans="1:60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</row>
    <row r="659" spans="1:60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</row>
    <row r="660" spans="1: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</row>
    <row r="661" spans="1:60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</row>
    <row r="662" spans="1:60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</row>
    <row r="663" spans="1:60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</row>
    <row r="664" spans="1:60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</row>
    <row r="665" spans="1:60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</row>
    <row r="666" spans="1:60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</row>
    <row r="667" spans="1:60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</row>
    <row r="668" spans="1:60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</row>
    <row r="669" spans="1:60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</row>
    <row r="670" spans="1:6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</row>
    <row r="671" spans="1:60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</row>
  </sheetData>
  <mergeCells count="79">
    <mergeCell ref="O37:Q38"/>
    <mergeCell ref="B31:C31"/>
    <mergeCell ref="P31:Q31"/>
    <mergeCell ref="B32:C32"/>
    <mergeCell ref="K34:L34"/>
    <mergeCell ref="K35:L35"/>
    <mergeCell ref="A35:D35"/>
    <mergeCell ref="A36:C36"/>
    <mergeCell ref="E36:G36"/>
    <mergeCell ref="H36:I36"/>
    <mergeCell ref="K36:L36"/>
    <mergeCell ref="M36:N36"/>
    <mergeCell ref="O36:Q36"/>
    <mergeCell ref="M34:Q35"/>
    <mergeCell ref="I25:I27"/>
    <mergeCell ref="J25:J27"/>
    <mergeCell ref="K25:K27"/>
    <mergeCell ref="A39:Q40"/>
    <mergeCell ref="B28:C28"/>
    <mergeCell ref="B29:C29"/>
    <mergeCell ref="B30:C30"/>
    <mergeCell ref="B33:C33"/>
    <mergeCell ref="A34:D34"/>
    <mergeCell ref="A37:D38"/>
    <mergeCell ref="E37:E38"/>
    <mergeCell ref="F37:F38"/>
    <mergeCell ref="G37:G38"/>
    <mergeCell ref="J37:J38"/>
    <mergeCell ref="K37:L38"/>
    <mergeCell ref="M37:N38"/>
    <mergeCell ref="A1:E1"/>
    <mergeCell ref="A2:C3"/>
    <mergeCell ref="D2:D3"/>
    <mergeCell ref="E2:E3"/>
    <mergeCell ref="B5:C5"/>
    <mergeCell ref="B6:C6"/>
    <mergeCell ref="F6:O11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D17"/>
    <mergeCell ref="A18:D18"/>
    <mergeCell ref="A19:D19"/>
    <mergeCell ref="A25:C26"/>
    <mergeCell ref="D25:D26"/>
    <mergeCell ref="A20:D20"/>
    <mergeCell ref="E25:E26"/>
    <mergeCell ref="F16:Q17"/>
    <mergeCell ref="H37:I38"/>
    <mergeCell ref="P29:Q29"/>
    <mergeCell ref="P30:Q30"/>
    <mergeCell ref="P32:Q32"/>
    <mergeCell ref="P33:Q33"/>
    <mergeCell ref="L25:L27"/>
    <mergeCell ref="M25:M27"/>
    <mergeCell ref="N25:N27"/>
    <mergeCell ref="O25:O27"/>
    <mergeCell ref="P25:Q27"/>
    <mergeCell ref="I28:Q28"/>
    <mergeCell ref="F25:F26"/>
    <mergeCell ref="G25:G26"/>
    <mergeCell ref="H25:H27"/>
    <mergeCell ref="B46:Q46"/>
    <mergeCell ref="B47:C47"/>
    <mergeCell ref="F47:H47"/>
    <mergeCell ref="K47:M47"/>
    <mergeCell ref="O47:Q47"/>
    <mergeCell ref="B48:C48"/>
    <mergeCell ref="B49:C49"/>
    <mergeCell ref="B50:C50"/>
    <mergeCell ref="B51:C51"/>
    <mergeCell ref="B52:Q5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09"/>
  <sheetViews>
    <sheetView zoomScale="90" zoomScaleNormal="90" workbookViewId="0">
      <selection activeCell="A84" sqref="A84"/>
    </sheetView>
  </sheetViews>
  <sheetFormatPr defaultColWidth="8" defaultRowHeight="15.75" customHeight="1"/>
  <cols>
    <col min="1" max="1" width="9.75" style="1" customWidth="1"/>
    <col min="2" max="2" width="15.75" style="1" customWidth="1"/>
    <col min="3" max="3" width="23.625" style="1" customWidth="1"/>
    <col min="4" max="4" width="12" customWidth="1"/>
    <col min="5" max="5" width="13.375" customWidth="1"/>
    <col min="6" max="6" width="11.75" customWidth="1"/>
    <col min="7" max="8" width="13.375" customWidth="1"/>
    <col min="9" max="9" width="12.375" customWidth="1"/>
    <col min="10" max="10" width="15.75" customWidth="1"/>
    <col min="11" max="11" width="14.25" customWidth="1"/>
    <col min="12" max="12" width="14.625" customWidth="1"/>
    <col min="13" max="13" width="12.25" customWidth="1"/>
    <col min="14" max="14" width="9.125" customWidth="1"/>
    <col min="15" max="15" width="12.25" customWidth="1"/>
    <col min="16" max="16" width="17" customWidth="1"/>
    <col min="17" max="37" width="9.125"/>
  </cols>
  <sheetData>
    <row r="1" spans="3:53" ht="24.75" customHeight="1">
      <c r="C1" s="353" t="s">
        <v>0</v>
      </c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3:53" ht="24.75" customHeight="1">
      <c r="D2" s="1"/>
      <c r="E2" s="1"/>
      <c r="F2" s="1"/>
      <c r="G2" s="295"/>
      <c r="H2" s="2" t="s">
        <v>1</v>
      </c>
      <c r="I2" s="2"/>
      <c r="J2" s="3"/>
      <c r="K2" s="4" t="s">
        <v>2</v>
      </c>
      <c r="M2" s="1"/>
      <c r="N2" s="1"/>
      <c r="O2" s="1"/>
      <c r="P2" s="5" t="s">
        <v>3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3:53" ht="15.75" customHeight="1" thickBot="1">
      <c r="D3" s="494" t="s">
        <v>132</v>
      </c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3:53" ht="15.75" customHeight="1">
      <c r="E4" s="1"/>
      <c r="F4" s="1"/>
      <c r="G4" s="295"/>
      <c r="H4" s="115" t="s">
        <v>133</v>
      </c>
      <c r="I4" s="123">
        <v>2</v>
      </c>
      <c r="J4" s="501" t="s">
        <v>134</v>
      </c>
      <c r="K4" s="1"/>
      <c r="L4" s="1"/>
      <c r="M4" s="498" t="s">
        <v>135</v>
      </c>
      <c r="N4" s="498"/>
      <c r="O4" s="499"/>
      <c r="P4" s="119" t="s">
        <v>136</v>
      </c>
      <c r="Q4" s="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3:53" ht="15.75" customHeight="1">
      <c r="D5" s="143"/>
      <c r="E5" s="143"/>
      <c r="F5" s="143"/>
      <c r="G5" s="320"/>
      <c r="H5" s="321" t="s">
        <v>4</v>
      </c>
      <c r="I5" s="8">
        <v>6</v>
      </c>
      <c r="J5" s="501"/>
      <c r="K5" s="318" t="s">
        <v>89</v>
      </c>
      <c r="L5" s="1"/>
      <c r="M5" s="113"/>
      <c r="N5" s="117"/>
      <c r="O5" s="117" t="s">
        <v>137</v>
      </c>
      <c r="P5" s="10">
        <v>7</v>
      </c>
      <c r="Q5" s="1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3:53" ht="15.75" customHeight="1">
      <c r="D6" s="143"/>
      <c r="E6" s="143"/>
      <c r="F6" s="143"/>
      <c r="G6" s="320"/>
      <c r="H6" s="321" t="s">
        <v>9</v>
      </c>
      <c r="I6" s="69">
        <v>10</v>
      </c>
      <c r="J6" s="501"/>
      <c r="L6" s="1"/>
      <c r="M6" s="113"/>
      <c r="N6" s="117"/>
      <c r="O6" s="117" t="s">
        <v>7</v>
      </c>
      <c r="P6" s="12">
        <f>I6*(((I7-I12)/I6)-1)/(P5-1)</f>
        <v>11.833333333333334</v>
      </c>
      <c r="Q6" s="1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3:53" ht="15.75" customHeight="1">
      <c r="D7" s="143"/>
      <c r="E7" s="143"/>
      <c r="F7" s="322"/>
      <c r="G7" s="320"/>
      <c r="H7" s="321" t="s">
        <v>138</v>
      </c>
      <c r="I7" s="16">
        <f>(I6*(I5))+P9</f>
        <v>90</v>
      </c>
      <c r="J7" s="336">
        <f>'..'!BT3</f>
        <v>10</v>
      </c>
      <c r="K7" s="338">
        <f>'..'!BV3</f>
        <v>0.13008333333333333</v>
      </c>
      <c r="L7" s="1"/>
      <c r="M7" s="113"/>
      <c r="N7" s="117"/>
      <c r="O7" s="117" t="s">
        <v>10</v>
      </c>
      <c r="P7" s="14">
        <f>P6*(1-I10)</f>
        <v>11.300833333333333</v>
      </c>
      <c r="Q7" s="1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3:53" ht="15.75" customHeight="1">
      <c r="D8" s="143"/>
      <c r="E8" s="143"/>
      <c r="F8" s="143"/>
      <c r="G8" s="320"/>
      <c r="H8" s="323" t="s">
        <v>13</v>
      </c>
      <c r="I8" s="20">
        <f>I6*I5</f>
        <v>60</v>
      </c>
      <c r="J8" s="336">
        <f>'..'!BT4</f>
        <v>15</v>
      </c>
      <c r="K8" s="338">
        <f>'..'!BV4</f>
        <v>1.8666666666666623E-2</v>
      </c>
      <c r="L8" s="1"/>
      <c r="M8" s="113"/>
      <c r="N8" s="117"/>
      <c r="O8" s="116" t="s">
        <v>12</v>
      </c>
      <c r="P8" s="18">
        <f>P6*(P5-1)</f>
        <v>71</v>
      </c>
      <c r="Q8" s="1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3:53" ht="15.75" customHeight="1">
      <c r="D9" s="143"/>
      <c r="E9" s="143"/>
      <c r="F9" s="143"/>
      <c r="G9" s="320"/>
      <c r="H9" s="22" t="s">
        <v>14</v>
      </c>
      <c r="I9" s="21">
        <f>I7-I8</f>
        <v>30</v>
      </c>
      <c r="J9" s="336" t="str">
        <f>'..'!BT5</f>
        <v/>
      </c>
      <c r="K9" s="337" t="str">
        <f>'..'!BV5</f>
        <v/>
      </c>
      <c r="L9" s="1"/>
      <c r="M9" s="113"/>
      <c r="N9" s="117"/>
      <c r="O9" s="118" t="s">
        <v>139</v>
      </c>
      <c r="P9" s="103">
        <f>IFERROR('..'!CA12,0)</f>
        <v>30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3:53" ht="15.75" customHeight="1">
      <c r="D10" s="143"/>
      <c r="E10" s="143"/>
      <c r="F10" s="143"/>
      <c r="G10" s="320"/>
      <c r="H10" s="324" t="s">
        <v>16</v>
      </c>
      <c r="I10" s="25">
        <f>VLOOKUP(P4,'..'!BM2:BN4,2,FALSE)</f>
        <v>4.4999999999999998E-2</v>
      </c>
      <c r="J10" s="336" t="str">
        <f>'..'!BT6</f>
        <v/>
      </c>
      <c r="K10" s="337" t="str">
        <f>'..'!BV6</f>
        <v/>
      </c>
      <c r="L10" s="1"/>
      <c r="M10" s="113"/>
      <c r="N10" s="117"/>
      <c r="O10" s="116" t="s">
        <v>17</v>
      </c>
      <c r="P10" s="26">
        <f>P7-I6</f>
        <v>1.3008333333333333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3:53" ht="15.75" customHeight="1">
      <c r="D11" s="143"/>
      <c r="E11" s="143"/>
      <c r="F11" s="143"/>
      <c r="G11" s="320"/>
      <c r="H11" s="324" t="s">
        <v>140</v>
      </c>
      <c r="I11" s="29">
        <v>0.7</v>
      </c>
      <c r="J11" s="336" t="str">
        <f>'..'!BT7</f>
        <v/>
      </c>
      <c r="K11" s="337" t="str">
        <f>'..'!BV7</f>
        <v/>
      </c>
      <c r="L11" s="1"/>
      <c r="M11" s="113"/>
      <c r="N11" s="117"/>
      <c r="O11" s="117" t="s">
        <v>141</v>
      </c>
      <c r="P11" s="270">
        <f>P10/I6</f>
        <v>0.13008333333333333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3:53" ht="15.75" customHeight="1">
      <c r="D12" s="496" t="s">
        <v>142</v>
      </c>
      <c r="E12" s="496"/>
      <c r="F12" s="496"/>
      <c r="G12" s="496"/>
      <c r="H12" s="496"/>
      <c r="I12" s="500">
        <f>I9*(1-I11)</f>
        <v>9.0000000000000018</v>
      </c>
      <c r="J12" s="336" t="str">
        <f>'..'!BT8</f>
        <v/>
      </c>
      <c r="K12" s="337" t="str">
        <f>'..'!BV8</f>
        <v/>
      </c>
      <c r="L12" s="1"/>
      <c r="M12" s="113"/>
      <c r="N12" s="117"/>
      <c r="O12" s="117" t="s">
        <v>143</v>
      </c>
      <c r="P12" s="347">
        <f>((ROUND((I5/(P5-I10))*100,2)-ROUND((I5/(P5-I10))*100,2)*I10))/100</f>
        <v>0.82387849999999996</v>
      </c>
      <c r="Q12" s="495" t="str">
        <f>IF(P12&lt;P13,"QUOTE FUORI RATING MINIMO!!","")</f>
        <v/>
      </c>
      <c r="R12" s="495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3:53" ht="15.75" customHeight="1">
      <c r="D13" s="496"/>
      <c r="E13" s="496"/>
      <c r="F13" s="496"/>
      <c r="G13" s="496"/>
      <c r="H13" s="496"/>
      <c r="I13" s="500"/>
      <c r="J13" s="336" t="str">
        <f>'..'!BT9</f>
        <v/>
      </c>
      <c r="K13" s="337" t="str">
        <f>'..'!BV9</f>
        <v/>
      </c>
      <c r="L13" s="1"/>
      <c r="M13" s="113"/>
      <c r="N13" s="117"/>
      <c r="O13" s="117" t="s">
        <v>144</v>
      </c>
      <c r="P13" s="348">
        <f>IF('..'!CA11=1,'..'!CA8,'..'!CA10)</f>
        <v>0.72</v>
      </c>
      <c r="Q13" s="495"/>
      <c r="R13" s="495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3:53" ht="15.75" customHeight="1">
      <c r="D14" s="325"/>
      <c r="E14" s="325"/>
      <c r="F14" s="325"/>
      <c r="G14" s="325"/>
      <c r="H14" s="324" t="s">
        <v>145</v>
      </c>
      <c r="I14" s="335">
        <f>I8-I6-P8</f>
        <v>-21</v>
      </c>
      <c r="J14" s="336" t="str">
        <f>'..'!BT10</f>
        <v/>
      </c>
      <c r="K14" s="337" t="str">
        <f>'..'!BV10</f>
        <v/>
      </c>
      <c r="L14" s="1"/>
      <c r="M14" s="113"/>
      <c r="N14" s="113"/>
      <c r="P14" s="348"/>
      <c r="Q14" s="297"/>
      <c r="R14" s="297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3:53" ht="20.25" customHeight="1">
      <c r="C15" s="497" t="str">
        <f>IF(P9=0,"ATTENZIONE: IMPORTO PUNTATA FUORI RANGE!!! PUOI PUNTARE SOLO MULTIPLI DI 5 EURO DA UN MINIMO DI "&amp;'..'!CA13&amp;" EURO AD UN MASSIMO DI "&amp;'..'!CA14&amp;" EURO SUL SEGNO SCELTO "&amp;I4,"")</f>
        <v/>
      </c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97"/>
      <c r="O15" s="497"/>
      <c r="P15" s="497"/>
      <c r="Q15" s="497"/>
      <c r="R15" s="497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3:53" ht="6" customHeight="1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66" ht="15.75" customHeight="1">
      <c r="E17" s="121"/>
      <c r="F17" s="346" t="s">
        <v>146</v>
      </c>
      <c r="G17" s="339"/>
      <c r="H17" s="340"/>
      <c r="I17" s="341"/>
      <c r="J17" s="342"/>
      <c r="K17" s="342"/>
      <c r="L17" s="343"/>
      <c r="M17" s="344">
        <v>5</v>
      </c>
      <c r="N17" s="345">
        <f>1/M17</f>
        <v>0.2</v>
      </c>
      <c r="O17" s="114"/>
      <c r="P17" s="122"/>
      <c r="Q17" s="120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</row>
    <row r="18" spans="1:66" ht="47.25" customHeight="1">
      <c r="C18" s="493" t="s">
        <v>147</v>
      </c>
      <c r="D18" s="493"/>
      <c r="E18" s="493"/>
      <c r="F18" s="493"/>
      <c r="G18" s="493"/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93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66" ht="21" customHeight="1">
      <c r="A19" s="492" t="s">
        <v>148</v>
      </c>
      <c r="B19" s="492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92"/>
      <c r="R19" s="492"/>
      <c r="S19" s="492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1:66" ht="21" customHeight="1">
      <c r="A20" s="263"/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 t="s">
        <v>149</v>
      </c>
      <c r="P20" s="263" t="s">
        <v>150</v>
      </c>
      <c r="Q20" s="263"/>
      <c r="R20" s="263"/>
      <c r="S20" s="26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66" ht="15.75" customHeight="1">
      <c r="B21" s="135"/>
      <c r="C21" s="135"/>
      <c r="D21" s="249" t="s">
        <v>151</v>
      </c>
      <c r="E21" s="250"/>
      <c r="F21" s="249"/>
      <c r="G21" s="251"/>
      <c r="H21" s="159"/>
      <c r="I21" s="254">
        <f>P9</f>
        <v>30</v>
      </c>
      <c r="J21" s="159" t="s">
        <v>152</v>
      </c>
      <c r="K21" s="1"/>
      <c r="L21" s="159"/>
      <c r="M21" s="48"/>
      <c r="N21" s="48"/>
      <c r="O21" s="232">
        <f>P10</f>
        <v>1.3008333333333333</v>
      </c>
      <c r="P21" s="233">
        <f>O21</f>
        <v>1.3008333333333333</v>
      </c>
      <c r="Q21" s="135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15.75" customHeight="1">
      <c r="B22" s="135"/>
      <c r="C22" s="135"/>
      <c r="D22" s="249" t="s">
        <v>153</v>
      </c>
      <c r="E22" s="250"/>
      <c r="F22" s="249"/>
      <c r="G22" s="251"/>
      <c r="H22" s="159"/>
      <c r="I22" s="255">
        <f>I14</f>
        <v>-21</v>
      </c>
      <c r="J22" s="261" t="s">
        <v>154</v>
      </c>
      <c r="K22" s="1"/>
      <c r="L22" s="252"/>
      <c r="M22" s="245"/>
      <c r="N22" s="245"/>
      <c r="O22" s="246">
        <f>M42</f>
        <v>3.5089557568753662</v>
      </c>
      <c r="P22" s="233">
        <f>P61</f>
        <v>3.0981574889748273</v>
      </c>
      <c r="Q22" s="135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ht="15.75" customHeight="1">
      <c r="B23" s="135"/>
      <c r="C23" s="135"/>
      <c r="D23" s="296" t="s">
        <v>155</v>
      </c>
      <c r="E23" s="296"/>
      <c r="F23" s="296"/>
      <c r="G23" s="250"/>
      <c r="H23" s="159"/>
      <c r="I23" s="256">
        <f>L34</f>
        <v>24.508955756875306</v>
      </c>
      <c r="J23" s="262" t="s">
        <v>156</v>
      </c>
      <c r="K23" s="1"/>
      <c r="L23" s="253"/>
      <c r="M23" s="247"/>
      <c r="N23" s="247"/>
      <c r="O23" s="248">
        <f>N34</f>
        <v>3.5089557568753058</v>
      </c>
      <c r="P23" s="233">
        <f>P22</f>
        <v>3.0981574889748273</v>
      </c>
      <c r="Q23" s="135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ht="15.75" customHeight="1">
      <c r="B24" s="157"/>
      <c r="C24" s="48"/>
      <c r="D24" s="1"/>
      <c r="E24" s="1"/>
      <c r="F24" s="1"/>
      <c r="G24" s="1"/>
      <c r="H24" s="1"/>
      <c r="I24" s="1"/>
      <c r="K24" s="260" t="s">
        <v>89</v>
      </c>
      <c r="L24" s="258" t="s">
        <v>157</v>
      </c>
      <c r="M24" s="259">
        <f>O23/I6</f>
        <v>0.3508955756875306</v>
      </c>
      <c r="N24" s="295" t="s">
        <v>130</v>
      </c>
      <c r="O24" s="257">
        <f>O21/I6</f>
        <v>0.13008333333333333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6" ht="15.75" customHeight="1">
      <c r="B25" s="157"/>
      <c r="C25" s="4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6" ht="15.75" customHeight="1">
      <c r="A26" s="235" t="s">
        <v>158</v>
      </c>
      <c r="B26" s="157"/>
      <c r="C26" s="48"/>
      <c r="D26" s="1"/>
      <c r="E26" s="1"/>
      <c r="F26" s="237"/>
      <c r="G26" s="237"/>
      <c r="H26" s="237"/>
      <c r="I26" s="1"/>
      <c r="J26" s="4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6" ht="15.75" customHeight="1">
      <c r="A27" s="234" t="s">
        <v>159</v>
      </c>
      <c r="D27" s="1"/>
      <c r="E27" s="1"/>
      <c r="F27" s="48"/>
      <c r="G27" s="1" t="s">
        <v>160</v>
      </c>
      <c r="H27" s="48"/>
      <c r="I27" s="1"/>
      <c r="J27" s="48"/>
      <c r="K27" s="48"/>
      <c r="L27" s="48"/>
      <c r="M27" s="48"/>
      <c r="N27" s="48"/>
      <c r="O27" s="14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6" ht="15.75" customHeight="1">
      <c r="A28" s="234" t="s">
        <v>161</v>
      </c>
      <c r="D28" s="1"/>
      <c r="E28" s="1"/>
      <c r="F28" s="1"/>
      <c r="G28" s="1" t="s">
        <v>162</v>
      </c>
      <c r="H28" s="1"/>
      <c r="I28" s="1"/>
      <c r="J28" s="48"/>
      <c r="K28" s="48"/>
      <c r="L28" s="48"/>
      <c r="M28" s="48"/>
      <c r="N28" s="48"/>
      <c r="O28" s="23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6" ht="15.75" customHeight="1">
      <c r="A29" s="234" t="s">
        <v>163</v>
      </c>
      <c r="D29" s="1"/>
      <c r="E29" s="1"/>
      <c r="F29" s="238"/>
      <c r="G29" s="1" t="s">
        <v>164</v>
      </c>
      <c r="H29" s="238"/>
      <c r="I29" s="239"/>
      <c r="J29" s="48"/>
      <c r="K29" s="48"/>
      <c r="L29" s="48"/>
      <c r="M29" s="48"/>
      <c r="N29" s="48"/>
      <c r="O29" s="4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6" ht="15.75" customHeight="1" thickBot="1">
      <c r="A30" s="234" t="s">
        <v>165</v>
      </c>
      <c r="B30"/>
      <c r="D30" s="1"/>
      <c r="E30" s="1"/>
      <c r="F30" s="236"/>
      <c r="G30" s="1" t="s">
        <v>166</v>
      </c>
      <c r="H30" s="1"/>
      <c r="I30" s="1"/>
      <c r="J30" s="48"/>
      <c r="K30" s="48"/>
      <c r="L30" s="48"/>
      <c r="M30" s="48"/>
      <c r="N30" s="48"/>
      <c r="O30" s="4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6" ht="15.75" customHeight="1" thickBot="1">
      <c r="A31" s="517" t="s">
        <v>90</v>
      </c>
      <c r="B31" s="518"/>
      <c r="C31" s="519"/>
      <c r="D31" s="521">
        <v>30</v>
      </c>
      <c r="E31" s="523" t="s">
        <v>91</v>
      </c>
      <c r="F31" s="525" t="s">
        <v>94</v>
      </c>
      <c r="G31" s="528" t="s">
        <v>95</v>
      </c>
      <c r="H31" s="508" t="s">
        <v>96</v>
      </c>
      <c r="I31" s="511" t="s">
        <v>97</v>
      </c>
      <c r="J31" s="503" t="s">
        <v>98</v>
      </c>
      <c r="K31" s="514" t="s">
        <v>99</v>
      </c>
      <c r="L31" s="503" t="s">
        <v>100</v>
      </c>
      <c r="M31" s="503" t="s">
        <v>101</v>
      </c>
      <c r="N31" s="550" t="s">
        <v>167</v>
      </c>
      <c r="O31" s="55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51"/>
      <c r="BC31" s="151"/>
      <c r="BD31" s="152"/>
      <c r="BE31" s="153"/>
      <c r="BF31" s="1"/>
      <c r="BG31" s="1"/>
      <c r="BH31" s="1"/>
      <c r="BI31" s="1"/>
      <c r="BJ31" s="1"/>
    </row>
    <row r="32" spans="1:66" ht="15.75" customHeight="1" thickBot="1">
      <c r="A32" s="520"/>
      <c r="B32" s="413"/>
      <c r="C32" s="414"/>
      <c r="D32" s="522"/>
      <c r="E32" s="524"/>
      <c r="F32" s="526"/>
      <c r="G32" s="529"/>
      <c r="H32" s="509"/>
      <c r="I32" s="512"/>
      <c r="J32" s="504"/>
      <c r="K32" s="515"/>
      <c r="L32" s="504"/>
      <c r="M32" s="504"/>
      <c r="N32" s="552"/>
      <c r="O32" s="55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48"/>
      <c r="BC32" s="148"/>
      <c r="BD32" s="156"/>
      <c r="BE32" s="154"/>
      <c r="BF32" s="1"/>
      <c r="BG32" s="1"/>
      <c r="BH32" s="1"/>
      <c r="BI32" s="1"/>
      <c r="BJ32" s="1"/>
    </row>
    <row r="33" spans="1:62" ht="15.75" customHeight="1" thickBot="1">
      <c r="A33" s="242" t="s">
        <v>50</v>
      </c>
      <c r="B33" s="243" t="s">
        <v>51</v>
      </c>
      <c r="C33" s="243"/>
      <c r="D33" s="243" t="s">
        <v>52</v>
      </c>
      <c r="E33" s="244" t="s">
        <v>103</v>
      </c>
      <c r="F33" s="527"/>
      <c r="G33" s="530"/>
      <c r="H33" s="510"/>
      <c r="I33" s="513"/>
      <c r="J33" s="505"/>
      <c r="K33" s="516"/>
      <c r="L33" s="505"/>
      <c r="M33" s="505"/>
      <c r="N33" s="554"/>
      <c r="O33" s="555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295">
        <v>1</v>
      </c>
      <c r="BC33" s="1">
        <f>(E39*100-E39*BE33+BE33)/100</f>
        <v>12</v>
      </c>
      <c r="BD33" s="154" t="e">
        <f>(BB34*100-BB34*BC34+BC34)/100</f>
        <v>#REF!</v>
      </c>
      <c r="BE33" s="154"/>
      <c r="BF33" s="1"/>
      <c r="BG33" s="1"/>
      <c r="BH33" s="1"/>
      <c r="BI33" s="1"/>
      <c r="BJ33" s="1"/>
    </row>
    <row r="34" spans="1:62" ht="15.75" customHeight="1" thickBot="1">
      <c r="A34" s="240" t="s">
        <v>53</v>
      </c>
      <c r="B34" s="506" t="s">
        <v>57</v>
      </c>
      <c r="C34" s="507"/>
      <c r="D34" s="163">
        <v>1</v>
      </c>
      <c r="E34" s="195">
        <v>2</v>
      </c>
      <c r="F34" s="241">
        <v>2.0499999999999998</v>
      </c>
      <c r="G34" s="201">
        <v>4.4999999999999998E-2</v>
      </c>
      <c r="H34" s="215">
        <f>(H35*(1-$G34))/(F34-$G34)</f>
        <v>25.663828017670479</v>
      </c>
      <c r="I34" s="216"/>
      <c r="J34" s="217">
        <f>IF(I34="",H34*(F34-1),I34*(F34-1))</f>
        <v>26.947019418554</v>
      </c>
      <c r="K34" s="218">
        <f>IF(I34="",H34-H34*(G34),I34-H34*(G34))</f>
        <v>24.508955756875306</v>
      </c>
      <c r="L34" s="217">
        <f>K34</f>
        <v>24.508955756875306</v>
      </c>
      <c r="M34" s="219">
        <f>L34-(D31)</f>
        <v>-5.4910442431246942</v>
      </c>
      <c r="N34" s="556">
        <f>L34+I22</f>
        <v>3.5089557568753058</v>
      </c>
      <c r="O34" s="55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55" t="e">
        <f>+#REF!*#REF!/BC34</f>
        <v>#REF!</v>
      </c>
      <c r="BC34" s="155" t="e">
        <f>(#REF!*100-#REF!*BE34+BE34)/100</f>
        <v>#REF!</v>
      </c>
      <c r="BD34" s="153">
        <f>BB33</f>
        <v>1</v>
      </c>
      <c r="BE34" s="153"/>
      <c r="BF34" s="1"/>
      <c r="BG34" s="1"/>
      <c r="BH34" s="1"/>
      <c r="BI34" s="1"/>
      <c r="BJ34" s="1"/>
    </row>
    <row r="35" spans="1:62" ht="15.75" customHeight="1" thickBot="1">
      <c r="A35" s="162" t="s">
        <v>56</v>
      </c>
      <c r="B35" s="448" t="s">
        <v>60</v>
      </c>
      <c r="C35" s="502"/>
      <c r="D35" s="163">
        <v>1</v>
      </c>
      <c r="E35" s="195">
        <v>2</v>
      </c>
      <c r="F35" s="223">
        <v>2.1</v>
      </c>
      <c r="G35" s="201">
        <v>4.4999999999999998E-2</v>
      </c>
      <c r="H35" s="221">
        <f>(H36*(1-$G35))/(F35-$G35)</f>
        <v>53.880602277936454</v>
      </c>
      <c r="I35" s="216"/>
      <c r="J35" s="217">
        <f>IF(I35="",H35*(F35-1),I35*(F35-1))</f>
        <v>59.268662505730106</v>
      </c>
      <c r="K35" s="218">
        <f>IF(I35="",H35-H35*(G35),I35-H35*(G35))</f>
        <v>51.455975175429316</v>
      </c>
      <c r="L35" s="217">
        <f>K35-J34</f>
        <v>24.508955756875316</v>
      </c>
      <c r="M35" s="219">
        <f>L35-(D31)</f>
        <v>-5.4910442431246835</v>
      </c>
      <c r="N35" s="556">
        <f>L35+I22</f>
        <v>3.5089557568753165</v>
      </c>
      <c r="O35" s="55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ht="15.75" customHeight="1" thickBot="1">
      <c r="A36" s="162" t="s">
        <v>59</v>
      </c>
      <c r="B36" s="448" t="s">
        <v>62</v>
      </c>
      <c r="C36" s="502"/>
      <c r="D36" s="163">
        <v>1</v>
      </c>
      <c r="E36" s="195">
        <v>3</v>
      </c>
      <c r="F36" s="223">
        <v>3.15</v>
      </c>
      <c r="G36" s="201">
        <v>4.4999999999999998E-2</v>
      </c>
      <c r="H36" s="221">
        <f>(H37*(1-$G36))/(F36-$G36)</f>
        <v>115.94202898550725</v>
      </c>
      <c r="I36" s="202"/>
      <c r="J36" s="217">
        <f>IF(I36="",H36*(F36-1),I36*(F36-1))</f>
        <v>249.27536231884056</v>
      </c>
      <c r="K36" s="218">
        <f>IF(I36="",H36-H36*(G36),I36-H36*(G36))</f>
        <v>110.72463768115942</v>
      </c>
      <c r="L36" s="217">
        <f>K36-J35-J34</f>
        <v>24.508955756875316</v>
      </c>
      <c r="M36" s="219">
        <f>L36-(D31)</f>
        <v>-5.4910442431246835</v>
      </c>
      <c r="N36" s="556">
        <f>L36+I22</f>
        <v>3.5089557568753165</v>
      </c>
      <c r="O36" s="55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</row>
    <row r="37" spans="1:62" ht="15.75" customHeight="1" thickBot="1">
      <c r="A37" s="162" t="s">
        <v>61</v>
      </c>
      <c r="B37" s="448" t="s">
        <v>64</v>
      </c>
      <c r="C37" s="502"/>
      <c r="D37" s="163">
        <v>1</v>
      </c>
      <c r="E37" s="195">
        <v>1</v>
      </c>
      <c r="F37" s="223">
        <v>1</v>
      </c>
      <c r="G37" s="201">
        <v>4.4999999999999998E-2</v>
      </c>
      <c r="H37" s="221">
        <f>(H38*(1-$G37))/(F37-$G37)</f>
        <v>376.96335078534031</v>
      </c>
      <c r="I37" s="202"/>
      <c r="J37" s="217">
        <f t="shared" ref="J37:J38" si="0">IF(I37="",H37*(F37-1),I37*(F37-1))</f>
        <v>0</v>
      </c>
      <c r="K37" s="218">
        <f>IF(I37="",H37-H37*(G37),I37-H37*(G37))</f>
        <v>360</v>
      </c>
      <c r="L37" s="217">
        <f>K37-J36-J35-J34</f>
        <v>24.508955756875331</v>
      </c>
      <c r="M37" s="219">
        <f>L37-(D31)</f>
        <v>-5.4910442431246693</v>
      </c>
      <c r="N37" s="556">
        <f>L37+I22</f>
        <v>3.5089557568753307</v>
      </c>
      <c r="O37" s="55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</row>
    <row r="38" spans="1:62" ht="15.75" customHeight="1" thickBot="1">
      <c r="A38" s="162" t="s">
        <v>63</v>
      </c>
      <c r="B38" s="531" t="s">
        <v>66</v>
      </c>
      <c r="C38" s="532"/>
      <c r="D38" s="163">
        <v>1</v>
      </c>
      <c r="E38" s="195">
        <v>1</v>
      </c>
      <c r="F38" s="271">
        <v>1</v>
      </c>
      <c r="G38" s="272">
        <v>4.4999999999999998E-2</v>
      </c>
      <c r="H38" s="273">
        <f>(((D31*(F40-1)+D31))/($F38-G38))</f>
        <v>376.96335078534031</v>
      </c>
      <c r="I38" s="274"/>
      <c r="J38" s="275">
        <f t="shared" si="0"/>
        <v>0</v>
      </c>
      <c r="K38" s="276">
        <f>IF(I38="",H38-H38*(G38),I38-H38*(G38))</f>
        <v>360</v>
      </c>
      <c r="L38" s="275">
        <f>K38-J37-J36-J35-J34</f>
        <v>24.508955756875331</v>
      </c>
      <c r="M38" s="277">
        <f>L38-(D31)</f>
        <v>-5.4910442431246693</v>
      </c>
      <c r="N38" s="556">
        <f>L38+I22</f>
        <v>3.5089557568753307</v>
      </c>
      <c r="O38" s="55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</row>
    <row r="39" spans="1:62" ht="15.75" customHeight="1" thickBot="1">
      <c r="A39" s="576" t="s">
        <v>83</v>
      </c>
      <c r="B39" s="577"/>
      <c r="C39" s="577"/>
      <c r="D39" s="578"/>
      <c r="E39" s="142">
        <f>E34*E35*E36*E37*E38</f>
        <v>12</v>
      </c>
      <c r="F39" s="467" t="s">
        <v>112</v>
      </c>
      <c r="G39" s="579"/>
      <c r="H39" s="278"/>
      <c r="I39" s="278"/>
      <c r="J39" s="278"/>
      <c r="K39" s="278"/>
      <c r="L39" s="278"/>
      <c r="M39" s="278"/>
      <c r="N39" s="278"/>
      <c r="O39" s="279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</row>
    <row r="40" spans="1:62" ht="15.75" customHeight="1" thickBot="1">
      <c r="A40" s="547" t="s">
        <v>48</v>
      </c>
      <c r="B40" s="548"/>
      <c r="C40" s="548"/>
      <c r="D40" s="549"/>
      <c r="E40" s="193">
        <f>D31</f>
        <v>30</v>
      </c>
      <c r="F40" s="469">
        <f>F42/D31</f>
        <v>12</v>
      </c>
      <c r="G40" s="533"/>
      <c r="H40" s="280"/>
      <c r="I40" s="280"/>
      <c r="J40" s="280"/>
      <c r="K40" s="280"/>
      <c r="L40" s="280"/>
      <c r="M40" s="280"/>
      <c r="N40" s="280"/>
      <c r="O40" s="28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</row>
    <row r="41" spans="1:62" ht="33" customHeight="1" thickBot="1">
      <c r="A41" s="540" t="s">
        <v>114</v>
      </c>
      <c r="B41" s="541"/>
      <c r="C41" s="542"/>
      <c r="D41" s="214">
        <f>D31*(1)</f>
        <v>30</v>
      </c>
      <c r="E41" s="194">
        <f>E40</f>
        <v>30</v>
      </c>
      <c r="F41" s="543" t="s">
        <v>168</v>
      </c>
      <c r="G41" s="544"/>
      <c r="H41" s="265" t="s">
        <v>169</v>
      </c>
      <c r="I41" s="545" t="s">
        <v>117</v>
      </c>
      <c r="J41" s="546"/>
      <c r="K41" s="538" t="s">
        <v>170</v>
      </c>
      <c r="L41" s="539"/>
      <c r="M41" s="558" t="s">
        <v>119</v>
      </c>
      <c r="N41" s="559"/>
      <c r="O41" s="560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</row>
    <row r="42" spans="1:62" ht="15.75" customHeight="1">
      <c r="A42" s="561" t="s">
        <v>120</v>
      </c>
      <c r="B42" s="562"/>
      <c r="C42" s="562"/>
      <c r="D42" s="562"/>
      <c r="E42" s="565">
        <f>E39*E40</f>
        <v>360</v>
      </c>
      <c r="F42" s="378">
        <f>E42*(1+H42)</f>
        <v>360</v>
      </c>
      <c r="G42" s="567"/>
      <c r="H42" s="570">
        <v>0</v>
      </c>
      <c r="I42" s="459">
        <f>J34+J35+J36+J37+J38</f>
        <v>335.49104424312463</v>
      </c>
      <c r="J42" s="572"/>
      <c r="K42" s="574">
        <f>I22</f>
        <v>-21</v>
      </c>
      <c r="L42" s="464"/>
      <c r="M42" s="574">
        <f>F42-I42+K42</f>
        <v>3.5089557568753662</v>
      </c>
      <c r="N42" s="461"/>
      <c r="O42" s="46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</row>
    <row r="43" spans="1:62" ht="15.75" customHeight="1" thickBot="1">
      <c r="A43" s="563"/>
      <c r="B43" s="564"/>
      <c r="C43" s="564"/>
      <c r="D43" s="564"/>
      <c r="E43" s="566"/>
      <c r="F43" s="568"/>
      <c r="G43" s="569"/>
      <c r="H43" s="571"/>
      <c r="I43" s="460"/>
      <c r="J43" s="573"/>
      <c r="K43" s="575"/>
      <c r="L43" s="466"/>
      <c r="M43" s="575"/>
      <c r="N43" s="462"/>
      <c r="O43" s="46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</row>
    <row r="44" spans="1:62" ht="15.75" customHeight="1">
      <c r="A44" s="535" t="s">
        <v>121</v>
      </c>
      <c r="B44" s="536"/>
      <c r="C44" s="536"/>
      <c r="D44" s="536"/>
      <c r="E44" s="536"/>
      <c r="F44" s="536"/>
      <c r="G44" s="536"/>
      <c r="H44" s="536"/>
      <c r="I44" s="536"/>
      <c r="J44" s="536"/>
      <c r="K44" s="536"/>
      <c r="L44" s="536"/>
      <c r="M44" s="536"/>
      <c r="N44" s="536"/>
      <c r="O44" s="537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</row>
    <row r="45" spans="1:62" ht="15.75" customHeight="1" thickBot="1">
      <c r="A45" s="444"/>
      <c r="B45" s="445"/>
      <c r="C45" s="445"/>
      <c r="D45" s="445"/>
      <c r="E45" s="445"/>
      <c r="F45" s="445"/>
      <c r="G45" s="445"/>
      <c r="H45" s="445"/>
      <c r="I45" s="445"/>
      <c r="J45" s="445"/>
      <c r="K45" s="445"/>
      <c r="L45" s="445"/>
      <c r="M45" s="445"/>
      <c r="N45" s="445"/>
      <c r="O45" s="44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</row>
    <row r="46" spans="1:62" ht="15.75" customHeight="1">
      <c r="A46" s="264"/>
      <c r="B46" s="264"/>
      <c r="C46" s="264"/>
      <c r="D46" s="264"/>
      <c r="E46" s="264"/>
      <c r="F46" s="264"/>
      <c r="G46" s="264"/>
      <c r="H46" s="264"/>
      <c r="I46" s="264"/>
      <c r="J46" s="264"/>
      <c r="K46" s="264"/>
      <c r="L46" s="264"/>
      <c r="M46" s="264"/>
      <c r="N46" s="264"/>
      <c r="O46" s="26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</row>
    <row r="47" spans="1:62" ht="15.75" customHeight="1">
      <c r="A47" s="264"/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</row>
    <row r="48" spans="1:62" ht="15.75" customHeight="1">
      <c r="A48" s="534" t="s">
        <v>171</v>
      </c>
      <c r="B48" s="534"/>
      <c r="C48" s="534"/>
      <c r="D48" s="534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63" ht="24" customHeight="1">
      <c r="A49" s="534"/>
      <c r="B49" s="534"/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</row>
    <row r="50" spans="1:63" ht="15.75" customHeight="1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</row>
    <row r="51" spans="1:63" ht="15.75" customHeight="1"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 t="s">
        <v>149</v>
      </c>
      <c r="P51" s="263" t="s">
        <v>150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</row>
    <row r="52" spans="1:63" ht="15.75" customHeight="1">
      <c r="D52" s="249" t="s">
        <v>151</v>
      </c>
      <c r="E52" s="250"/>
      <c r="F52" s="249"/>
      <c r="G52" s="251"/>
      <c r="H52" s="159"/>
      <c r="I52" s="254">
        <f>P9</f>
        <v>30</v>
      </c>
      <c r="J52" s="159" t="s">
        <v>152</v>
      </c>
      <c r="L52" s="159"/>
      <c r="M52" s="48"/>
      <c r="N52" s="48"/>
      <c r="O52" s="268">
        <f>P10</f>
        <v>1.3008333333333333</v>
      </c>
      <c r="P52" s="233">
        <f>O52</f>
        <v>1.3008333333333333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</row>
    <row r="53" spans="1:63" ht="15.75" customHeight="1">
      <c r="D53" s="249" t="s">
        <v>153</v>
      </c>
      <c r="E53" s="250"/>
      <c r="F53" s="249"/>
      <c r="G53" s="251"/>
      <c r="H53" s="159"/>
      <c r="I53" s="255">
        <f>I14</f>
        <v>-21</v>
      </c>
      <c r="J53" s="261" t="s">
        <v>154</v>
      </c>
      <c r="L53" s="252"/>
      <c r="M53" s="245"/>
      <c r="N53" s="245"/>
      <c r="O53" s="269">
        <f>O22</f>
        <v>3.5089557568753662</v>
      </c>
      <c r="P53" s="266">
        <f>O69</f>
        <v>3.0981574889748913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</row>
    <row r="54" spans="1:63" ht="15.75" customHeight="1">
      <c r="D54" s="296" t="s">
        <v>155</v>
      </c>
      <c r="E54" s="296"/>
      <c r="F54" s="296"/>
      <c r="G54" s="250"/>
      <c r="H54" s="159"/>
      <c r="I54" s="256">
        <f>N61</f>
        <v>24.098157488974827</v>
      </c>
      <c r="J54" s="262" t="s">
        <v>156</v>
      </c>
      <c r="L54" s="253"/>
      <c r="M54" s="247"/>
      <c r="N54" s="247"/>
      <c r="O54" s="269">
        <f>O23</f>
        <v>3.5089557568753058</v>
      </c>
      <c r="P54" s="267">
        <f>P61</f>
        <v>3.0981574889748273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</row>
    <row r="55" spans="1:63" ht="15.75" customHeight="1">
      <c r="D55" s="1"/>
      <c r="E55" s="1"/>
      <c r="F55" s="1"/>
      <c r="G55" s="1"/>
      <c r="H55" s="1"/>
      <c r="I55" s="1"/>
      <c r="J55" s="260" t="s">
        <v>89</v>
      </c>
      <c r="K55" s="1"/>
      <c r="L55" s="258" t="s">
        <v>157</v>
      </c>
      <c r="M55" s="259">
        <f>P54/I6</f>
        <v>0.30981574889748276</v>
      </c>
      <c r="N55" s="295" t="s">
        <v>130</v>
      </c>
      <c r="O55" s="270">
        <f>O52/I6</f>
        <v>0.13008333333333333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</row>
    <row r="56" spans="1:63" ht="15.75" customHeight="1" thickBot="1">
      <c r="A56" s="408"/>
      <c r="B56" s="408"/>
      <c r="C56" s="408"/>
      <c r="D56" s="40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48"/>
      <c r="BD56" s="148"/>
      <c r="BE56" s="156"/>
      <c r="BF56" s="154"/>
      <c r="BG56" s="1"/>
      <c r="BH56" s="1"/>
      <c r="BI56" s="1"/>
      <c r="BJ56" s="1"/>
      <c r="BK56" s="1"/>
    </row>
    <row r="57" spans="1:63" ht="24" customHeight="1">
      <c r="A57" s="409" t="s">
        <v>172</v>
      </c>
      <c r="B57" s="410"/>
      <c r="C57" s="411"/>
      <c r="D57" s="580">
        <v>30</v>
      </c>
      <c r="E57" s="582" t="s">
        <v>91</v>
      </c>
      <c r="F57" s="399" t="s">
        <v>92</v>
      </c>
      <c r="G57" s="603" t="s">
        <v>93</v>
      </c>
      <c r="H57" s="605" t="s">
        <v>94</v>
      </c>
      <c r="I57" s="607" t="s">
        <v>95</v>
      </c>
      <c r="J57" s="594" t="s">
        <v>96</v>
      </c>
      <c r="K57" s="597" t="s">
        <v>173</v>
      </c>
      <c r="L57" s="584" t="s">
        <v>98</v>
      </c>
      <c r="M57" s="600" t="s">
        <v>99</v>
      </c>
      <c r="N57" s="584" t="s">
        <v>100</v>
      </c>
      <c r="O57" s="584" t="s">
        <v>101</v>
      </c>
      <c r="P57" s="587" t="s">
        <v>167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295">
        <v>1</v>
      </c>
      <c r="BD57" s="1">
        <f>(E66*100-E66*BF57+BF57)/100</f>
        <v>13.782656249999997</v>
      </c>
      <c r="BE57" s="154">
        <f>(BC59*100-BC59*BD59+BD59)/100</f>
        <v>0.75356394230769208</v>
      </c>
      <c r="BF57" s="154"/>
      <c r="BG57" s="1"/>
      <c r="BH57" s="1"/>
      <c r="BI57" s="1"/>
      <c r="BJ57" s="1"/>
      <c r="BK57" s="1"/>
    </row>
    <row r="58" spans="1:63" ht="15.75" customHeight="1" thickBot="1">
      <c r="A58" s="412"/>
      <c r="B58" s="413"/>
      <c r="C58" s="414"/>
      <c r="D58" s="581"/>
      <c r="E58" s="583"/>
      <c r="F58" s="400"/>
      <c r="G58" s="604"/>
      <c r="H58" s="526"/>
      <c r="I58" s="529"/>
      <c r="J58" s="595"/>
      <c r="K58" s="598"/>
      <c r="L58" s="585"/>
      <c r="M58" s="601"/>
      <c r="N58" s="585"/>
      <c r="O58" s="585"/>
      <c r="P58" s="588"/>
      <c r="Q58" s="16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>
        <f>+BD57*BC57/BD58</f>
        <v>0.63380281690140838</v>
      </c>
      <c r="BD58" s="1">
        <f>(F66*100-F66*BF58+BF58)/100</f>
        <v>21.745968749999996</v>
      </c>
      <c r="BE58" s="154">
        <f>(BC58*100-BC58*BD58+BD58)/100</f>
        <v>0.71343594190140835</v>
      </c>
      <c r="BF58" s="154"/>
      <c r="BG58" s="1"/>
      <c r="BH58" s="1"/>
      <c r="BI58" s="1"/>
      <c r="BJ58" s="1"/>
      <c r="BK58" s="1"/>
    </row>
    <row r="59" spans="1:63" ht="15.75" customHeight="1" thickBot="1">
      <c r="A59" s="138" t="s">
        <v>50</v>
      </c>
      <c r="B59" s="138" t="s">
        <v>51</v>
      </c>
      <c r="C59" s="138"/>
      <c r="D59" s="138" t="s">
        <v>52</v>
      </c>
      <c r="E59" s="139" t="s">
        <v>103</v>
      </c>
      <c r="F59" s="139" t="s">
        <v>104</v>
      </c>
      <c r="G59" s="139" t="s">
        <v>105</v>
      </c>
      <c r="H59" s="606"/>
      <c r="I59" s="608"/>
      <c r="J59" s="596"/>
      <c r="K59" s="599"/>
      <c r="L59" s="586"/>
      <c r="M59" s="602"/>
      <c r="N59" s="586"/>
      <c r="O59" s="586"/>
      <c r="P59" s="589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55">
        <f>+BD58*BC58/BD59</f>
        <v>0.69230769230769218</v>
      </c>
      <c r="BD59" s="155">
        <f>(G66*100-G66*BF59+BF59)/100</f>
        <v>19.908281249999998</v>
      </c>
      <c r="BE59" s="153">
        <f>BC57</f>
        <v>1</v>
      </c>
      <c r="BF59" s="153"/>
      <c r="BG59" s="1"/>
      <c r="BH59" s="1"/>
      <c r="BI59" s="1"/>
      <c r="BJ59" s="1"/>
      <c r="BK59" s="1"/>
    </row>
    <row r="60" spans="1:63" ht="15.75" customHeight="1" thickBot="1">
      <c r="A60" s="140" t="s">
        <v>53</v>
      </c>
      <c r="B60" s="447" t="s">
        <v>106</v>
      </c>
      <c r="C60" s="590"/>
      <c r="D60" s="227" t="s">
        <v>55</v>
      </c>
      <c r="E60" s="228">
        <v>2.25</v>
      </c>
      <c r="F60" s="229">
        <v>3.55</v>
      </c>
      <c r="G60" s="230">
        <v>3.25</v>
      </c>
      <c r="H60" s="167" t="s">
        <v>107</v>
      </c>
      <c r="I60" s="591" t="s">
        <v>174</v>
      </c>
      <c r="J60" s="592"/>
      <c r="K60" s="592"/>
      <c r="L60" s="592"/>
      <c r="M60" s="592"/>
      <c r="N60" s="592"/>
      <c r="O60" s="592"/>
      <c r="P60" s="59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15.75" customHeight="1" thickBot="1">
      <c r="A61" s="162" t="s">
        <v>56</v>
      </c>
      <c r="B61" s="448" t="s">
        <v>57</v>
      </c>
      <c r="C61" s="502"/>
      <c r="D61" s="163">
        <v>1</v>
      </c>
      <c r="E61" s="164">
        <v>1.65</v>
      </c>
      <c r="F61" s="165">
        <f>E61</f>
        <v>1.65</v>
      </c>
      <c r="G61" s="165">
        <f>E61</f>
        <v>1.65</v>
      </c>
      <c r="H61" s="168">
        <v>1.7</v>
      </c>
      <c r="I61" s="170">
        <v>4.4999999999999998E-2</v>
      </c>
      <c r="J61" s="205">
        <f>(J62*(1-$I61))/(H61-$I61)</f>
        <v>25.233672763324428</v>
      </c>
      <c r="K61" s="206"/>
      <c r="L61" s="207">
        <f>IF(K61="",J61*(H61-1),K61*(H61-1))</f>
        <v>17.663570934327097</v>
      </c>
      <c r="M61" s="208">
        <f>IF(K61="",J61-J61*(I61),K61-J61*(I61))</f>
        <v>24.098157488974827</v>
      </c>
      <c r="N61" s="207">
        <f>M61</f>
        <v>24.098157488974827</v>
      </c>
      <c r="O61" s="209">
        <f>N61-(D57)</f>
        <v>-5.9018425110251727</v>
      </c>
      <c r="P61" s="224">
        <f>N61+I53</f>
        <v>3.0981574889748273</v>
      </c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15.75" customHeight="1" thickBot="1">
      <c r="A62" s="162" t="s">
        <v>59</v>
      </c>
      <c r="B62" s="448" t="s">
        <v>60</v>
      </c>
      <c r="C62" s="502"/>
      <c r="D62" s="163">
        <v>1</v>
      </c>
      <c r="E62" s="164">
        <v>1.65</v>
      </c>
      <c r="F62" s="165">
        <f t="shared" ref="F62:F65" si="1">E62</f>
        <v>1.65</v>
      </c>
      <c r="G62" s="166">
        <f t="shared" ref="G62:G65" si="2">E62</f>
        <v>1.65</v>
      </c>
      <c r="H62" s="168">
        <v>1.73</v>
      </c>
      <c r="I62" s="170">
        <v>4.4999999999999998E-2</v>
      </c>
      <c r="J62" s="210">
        <f>(J63*(1-$I62))/(H62-$I62)</f>
        <v>43.729558558431343</v>
      </c>
      <c r="K62" s="206"/>
      <c r="L62" s="207">
        <f>IF(K62="",J62*(H62-1),K62*(H62-1))</f>
        <v>31.922577747654881</v>
      </c>
      <c r="M62" s="208">
        <f>IF(K62="",J62-J62*(I62),K62-J62*(I62))</f>
        <v>41.761728423301932</v>
      </c>
      <c r="N62" s="207">
        <f>M62-L61</f>
        <v>24.098157488974834</v>
      </c>
      <c r="O62" s="209">
        <f>N62-(D57)</f>
        <v>-5.9018425110251655</v>
      </c>
      <c r="P62" s="224">
        <f>N62+I53</f>
        <v>3.0981574889748345</v>
      </c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15.75" customHeight="1" thickBot="1">
      <c r="A63" s="162" t="s">
        <v>61</v>
      </c>
      <c r="B63" s="448" t="s">
        <v>62</v>
      </c>
      <c r="C63" s="502"/>
      <c r="D63" s="163">
        <v>1</v>
      </c>
      <c r="E63" s="164">
        <v>1.5</v>
      </c>
      <c r="F63" s="165">
        <f t="shared" si="1"/>
        <v>1.5</v>
      </c>
      <c r="G63" s="166">
        <f t="shared" si="2"/>
        <v>1.5</v>
      </c>
      <c r="H63" s="168">
        <v>1.58</v>
      </c>
      <c r="I63" s="170">
        <v>4.4999999999999998E-2</v>
      </c>
      <c r="J63" s="210">
        <f>(J64*(1-$I63))/(H63-$I63)</f>
        <v>77.156341540268926</v>
      </c>
      <c r="K63" s="171"/>
      <c r="L63" s="207">
        <f>IF(K63="",J63*(H63-1),K63*(H63-1))</f>
        <v>44.75067809335598</v>
      </c>
      <c r="M63" s="208">
        <f>IF(K63="",J63-J63*(I63),K63-J63*(I63))</f>
        <v>73.68430617095683</v>
      </c>
      <c r="N63" s="207">
        <f>M63-L62-L61</f>
        <v>24.098157488974849</v>
      </c>
      <c r="O63" s="209">
        <f>N63-(D57)</f>
        <v>-5.9018425110251513</v>
      </c>
      <c r="P63" s="224">
        <f>N63+I53</f>
        <v>3.0981574889748487</v>
      </c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19.5" customHeight="1" thickBot="1">
      <c r="A64" s="162" t="s">
        <v>63</v>
      </c>
      <c r="B64" s="448" t="s">
        <v>64</v>
      </c>
      <c r="C64" s="502"/>
      <c r="D64" s="163">
        <v>1</v>
      </c>
      <c r="E64" s="164">
        <v>1.5</v>
      </c>
      <c r="F64" s="165">
        <f t="shared" si="1"/>
        <v>1.5</v>
      </c>
      <c r="G64" s="166">
        <f t="shared" si="2"/>
        <v>1.5</v>
      </c>
      <c r="H64" s="168">
        <v>1.55</v>
      </c>
      <c r="I64" s="170">
        <v>4.4999999999999998E-2</v>
      </c>
      <c r="J64" s="210">
        <f>(J65*(1-$I64))/(H64-$I64)</f>
        <v>124.01569032912337</v>
      </c>
      <c r="K64" s="171"/>
      <c r="L64" s="207">
        <f t="shared" ref="L64:L65" si="3">IF(K64="",J64*(H64-1),K64*(H64-1))</f>
        <v>68.208629681017854</v>
      </c>
      <c r="M64" s="208">
        <f>IF(K64="",J64-J64*(I64),K64-J64*(I64))</f>
        <v>118.43498426431282</v>
      </c>
      <c r="N64" s="207">
        <f>M64-L63-L62-L61</f>
        <v>24.098157488974849</v>
      </c>
      <c r="O64" s="209">
        <f>N64-(D57)</f>
        <v>-5.9018425110251513</v>
      </c>
      <c r="P64" s="224">
        <f>N64+I53</f>
        <v>3.0981574889748487</v>
      </c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4" customHeight="1" thickBot="1">
      <c r="A65" s="162" t="s">
        <v>65</v>
      </c>
      <c r="B65" s="531" t="s">
        <v>66</v>
      </c>
      <c r="C65" s="532"/>
      <c r="D65" s="163">
        <v>1</v>
      </c>
      <c r="E65" s="231">
        <v>1</v>
      </c>
      <c r="F65" s="165">
        <f t="shared" si="1"/>
        <v>1</v>
      </c>
      <c r="G65" s="166">
        <f t="shared" si="2"/>
        <v>1</v>
      </c>
      <c r="H65" s="225">
        <v>1</v>
      </c>
      <c r="I65" s="170">
        <v>4.4999999999999998E-2</v>
      </c>
      <c r="J65" s="210">
        <f>(((D57*(H67-1)+D57))/($H65-I65))</f>
        <v>195.43833920977036</v>
      </c>
      <c r="K65" s="171"/>
      <c r="L65" s="207">
        <f t="shared" si="3"/>
        <v>0</v>
      </c>
      <c r="M65" s="208">
        <f>IF(K65="",J65-J65*(I65),K65-J65*(I65))</f>
        <v>186.64361394533069</v>
      </c>
      <c r="N65" s="207">
        <f>M65-L64-L63-L62-L61</f>
        <v>24.098157488974877</v>
      </c>
      <c r="O65" s="209">
        <f>N65-(D57)</f>
        <v>-5.9018425110251229</v>
      </c>
      <c r="P65" s="226">
        <f>N65+I53</f>
        <v>3.0981574889748771</v>
      </c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30.75" customHeight="1">
      <c r="A66" s="576" t="s">
        <v>83</v>
      </c>
      <c r="B66" s="577"/>
      <c r="C66" s="577"/>
      <c r="D66" s="578"/>
      <c r="E66" s="142">
        <f>E60*E61*E62*E63*E64*E65</f>
        <v>13.782656249999999</v>
      </c>
      <c r="F66" s="142">
        <f t="shared" ref="F66:G66" si="4">F60*F61*F62*F63*F64*F65</f>
        <v>21.745968749999996</v>
      </c>
      <c r="G66" s="142">
        <f t="shared" si="4"/>
        <v>19.908281249999998</v>
      </c>
      <c r="H66" s="609" t="s">
        <v>112</v>
      </c>
      <c r="I66" s="610"/>
      <c r="J66" s="611" t="s">
        <v>175</v>
      </c>
      <c r="K66" s="611"/>
      <c r="L66" s="611"/>
      <c r="M66" s="611"/>
      <c r="N66" s="611"/>
      <c r="O66" s="611"/>
      <c r="P66" s="612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15.75" customHeight="1" thickBot="1">
      <c r="A67" s="547" t="s">
        <v>48</v>
      </c>
      <c r="B67" s="548"/>
      <c r="C67" s="548"/>
      <c r="D67" s="549"/>
      <c r="E67" s="211">
        <f>D68/SUM(BC57:BC59)*BC57</f>
        <v>12.89706567303214</v>
      </c>
      <c r="F67" s="212">
        <f>D68/SUM(BC57:BC59)*BC58</f>
        <v>8.1741965533302281</v>
      </c>
      <c r="G67" s="213">
        <f>D68/SUM(BC57:BC59)*BC59</f>
        <v>8.9287377736376339</v>
      </c>
      <c r="H67" s="615">
        <f>H69/D57</f>
        <v>6.2214537981776896</v>
      </c>
      <c r="I67" s="616"/>
      <c r="J67" s="613"/>
      <c r="K67" s="613"/>
      <c r="L67" s="613"/>
      <c r="M67" s="613"/>
      <c r="N67" s="613"/>
      <c r="O67" s="613"/>
      <c r="P67" s="614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30.75" customHeight="1" thickBot="1">
      <c r="A68" s="540" t="s">
        <v>114</v>
      </c>
      <c r="B68" s="541"/>
      <c r="C68" s="542"/>
      <c r="D68" s="214">
        <f>D57*(1)</f>
        <v>30</v>
      </c>
      <c r="E68" s="617">
        <f>E67+F67+G67</f>
        <v>30</v>
      </c>
      <c r="F68" s="618"/>
      <c r="G68" s="619"/>
      <c r="H68" s="620" t="s">
        <v>168</v>
      </c>
      <c r="I68" s="621"/>
      <c r="J68" s="265" t="s">
        <v>169</v>
      </c>
      <c r="K68" s="622" t="s">
        <v>117</v>
      </c>
      <c r="L68" s="623"/>
      <c r="M68" s="624" t="s">
        <v>170</v>
      </c>
      <c r="N68" s="625"/>
      <c r="O68" s="626" t="s">
        <v>119</v>
      </c>
      <c r="P68" s="627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15.75" customHeight="1">
      <c r="A69" s="639" t="s">
        <v>120</v>
      </c>
      <c r="B69" s="640"/>
      <c r="C69" s="640"/>
      <c r="D69" s="641"/>
      <c r="E69" s="645">
        <f>E66*E67</f>
        <v>177.75582280507686</v>
      </c>
      <c r="F69" s="647">
        <f>F66*F67</f>
        <v>177.7558228050768</v>
      </c>
      <c r="G69" s="649">
        <f>G66*G67</f>
        <v>177.75582280507683</v>
      </c>
      <c r="H69" s="378">
        <f>G69*(1+J69)</f>
        <v>186.64361394533069</v>
      </c>
      <c r="I69" s="567"/>
      <c r="J69" s="570">
        <v>0.05</v>
      </c>
      <c r="K69" s="459">
        <f>L61+L62+L63+L64+L65</f>
        <v>162.54545645635579</v>
      </c>
      <c r="L69" s="572"/>
      <c r="M69" s="574">
        <f>I14</f>
        <v>-21</v>
      </c>
      <c r="N69" s="464"/>
      <c r="O69" s="574">
        <f>H69-K69+M69</f>
        <v>3.0981574889748913</v>
      </c>
      <c r="P69" s="464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15.75" customHeight="1" thickBot="1">
      <c r="A70" s="642"/>
      <c r="B70" s="643"/>
      <c r="C70" s="643"/>
      <c r="D70" s="644"/>
      <c r="E70" s="646"/>
      <c r="F70" s="648"/>
      <c r="G70" s="650"/>
      <c r="H70" s="651"/>
      <c r="I70" s="652"/>
      <c r="J70" s="628"/>
      <c r="K70" s="629"/>
      <c r="L70" s="630"/>
      <c r="M70" s="631"/>
      <c r="N70" s="632"/>
      <c r="O70" s="631"/>
      <c r="P70" s="632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15.75" customHeight="1">
      <c r="A71" s="633" t="s">
        <v>121</v>
      </c>
      <c r="B71" s="634"/>
      <c r="C71" s="634"/>
      <c r="D71" s="634"/>
      <c r="E71" s="634"/>
      <c r="F71" s="634"/>
      <c r="G71" s="634"/>
      <c r="H71" s="634"/>
      <c r="I71" s="634"/>
      <c r="J71" s="634"/>
      <c r="K71" s="634"/>
      <c r="L71" s="634"/>
      <c r="M71" s="634"/>
      <c r="N71" s="634"/>
      <c r="O71" s="634"/>
      <c r="P71" s="635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63" ht="15.75" customHeight="1" thickBot="1">
      <c r="A72" s="636"/>
      <c r="B72" s="637"/>
      <c r="C72" s="637"/>
      <c r="D72" s="637"/>
      <c r="E72" s="637"/>
      <c r="F72" s="637"/>
      <c r="G72" s="637"/>
      <c r="H72" s="637"/>
      <c r="I72" s="637"/>
      <c r="J72" s="637"/>
      <c r="K72" s="637"/>
      <c r="L72" s="637"/>
      <c r="M72" s="637"/>
      <c r="N72" s="637"/>
      <c r="O72" s="637"/>
      <c r="P72" s="638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63" ht="15.75" customHeight="1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63" ht="15.75" customHeight="1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63" ht="15.75" customHeight="1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63" ht="15.75" customHeight="1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63" ht="27.75" customHeight="1">
      <c r="A77" s="486" t="s">
        <v>176</v>
      </c>
      <c r="B77" s="487"/>
      <c r="C77" s="487"/>
      <c r="D77" s="487"/>
      <c r="E77" s="487"/>
      <c r="F77" s="487"/>
      <c r="G77" s="487"/>
      <c r="H77" s="487"/>
      <c r="I77" s="487"/>
      <c r="J77" s="487"/>
      <c r="K77" s="487"/>
      <c r="L77" s="487"/>
      <c r="M77" s="487"/>
      <c r="N77" s="487"/>
      <c r="O77" s="488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63" ht="15.75" customHeight="1">
      <c r="A78" s="370" t="s">
        <v>177</v>
      </c>
      <c r="B78" s="371"/>
      <c r="C78" s="371"/>
      <c r="D78" s="298" t="s">
        <v>124</v>
      </c>
      <c r="E78" s="489" t="s">
        <v>178</v>
      </c>
      <c r="F78" s="489"/>
      <c r="G78" s="489"/>
      <c r="H78" s="298"/>
      <c r="I78" s="299" t="s">
        <v>179</v>
      </c>
      <c r="J78" s="299"/>
      <c r="K78" s="299"/>
      <c r="L78" s="1"/>
      <c r="M78" s="490" t="s">
        <v>128</v>
      </c>
      <c r="N78" s="490"/>
      <c r="O78" s="49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63" ht="15.75" customHeight="1">
      <c r="A79" s="362">
        <v>50</v>
      </c>
      <c r="B79" s="363"/>
      <c r="C79" s="363"/>
      <c r="D79" s="300">
        <v>30</v>
      </c>
      <c r="E79" s="300"/>
      <c r="F79" s="301">
        <f>A79*D79</f>
        <v>1500</v>
      </c>
      <c r="G79" s="300"/>
      <c r="H79" s="300"/>
      <c r="I79" s="302">
        <v>0.2</v>
      </c>
      <c r="J79" s="300" t="s">
        <v>129</v>
      </c>
      <c r="K79" s="302">
        <v>1</v>
      </c>
      <c r="L79" s="1"/>
      <c r="M79" s="301">
        <f>F79*I79</f>
        <v>300</v>
      </c>
      <c r="N79" s="300" t="s">
        <v>130</v>
      </c>
      <c r="O79" s="303">
        <f>F79*K79</f>
        <v>1500</v>
      </c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63" ht="15.75" customHeight="1">
      <c r="A80" s="362">
        <v>60</v>
      </c>
      <c r="B80" s="363"/>
      <c r="C80" s="363"/>
      <c r="D80" s="300">
        <v>30</v>
      </c>
      <c r="E80" s="300"/>
      <c r="F80" s="301">
        <f t="shared" ref="F80:F82" si="5">A80*D80</f>
        <v>1800</v>
      </c>
      <c r="G80" s="300"/>
      <c r="H80" s="300"/>
      <c r="I80" s="302">
        <v>0.2</v>
      </c>
      <c r="J80" s="300" t="s">
        <v>129</v>
      </c>
      <c r="K80" s="302">
        <v>1</v>
      </c>
      <c r="L80" s="1"/>
      <c r="M80" s="301">
        <f>F80*I80</f>
        <v>360</v>
      </c>
      <c r="N80" s="300" t="s">
        <v>130</v>
      </c>
      <c r="O80" s="303">
        <f>F80*K80</f>
        <v>1800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5.75" customHeight="1">
      <c r="A81" s="362">
        <v>80</v>
      </c>
      <c r="B81" s="363"/>
      <c r="C81" s="363"/>
      <c r="D81" s="300">
        <v>30</v>
      </c>
      <c r="E81" s="300"/>
      <c r="F81" s="301">
        <f t="shared" si="5"/>
        <v>2400</v>
      </c>
      <c r="G81" s="300"/>
      <c r="H81" s="300"/>
      <c r="I81" s="302">
        <v>0.2</v>
      </c>
      <c r="J81" s="300" t="s">
        <v>129</v>
      </c>
      <c r="K81" s="302">
        <v>1</v>
      </c>
      <c r="L81" s="1"/>
      <c r="M81" s="301">
        <f>F81*I81</f>
        <v>480</v>
      </c>
      <c r="N81" s="300" t="s">
        <v>130</v>
      </c>
      <c r="O81" s="303">
        <f>F81*K81</f>
        <v>2400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15.75" customHeight="1">
      <c r="A82" s="362">
        <v>100</v>
      </c>
      <c r="B82" s="363"/>
      <c r="C82" s="363"/>
      <c r="D82" s="300">
        <v>30</v>
      </c>
      <c r="E82" s="300"/>
      <c r="F82" s="301">
        <f t="shared" si="5"/>
        <v>3000</v>
      </c>
      <c r="G82" s="300"/>
      <c r="H82" s="300"/>
      <c r="I82" s="302">
        <v>0.2</v>
      </c>
      <c r="J82" s="300" t="s">
        <v>129</v>
      </c>
      <c r="K82" s="302">
        <v>1</v>
      </c>
      <c r="L82" s="1"/>
      <c r="M82" s="301">
        <f>F82*I82</f>
        <v>600</v>
      </c>
      <c r="N82" s="300" t="s">
        <v>130</v>
      </c>
      <c r="O82" s="303">
        <f>F82*K82</f>
        <v>3000</v>
      </c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23.25" customHeight="1">
      <c r="A83" s="483" t="s">
        <v>180</v>
      </c>
      <c r="B83" s="484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15.75" customHeight="1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5.75" customHeight="1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15.75" customHeight="1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5.75" customHeight="1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5.75" customHeight="1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15.75" customHeight="1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5.75" customHeight="1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15.75" customHeight="1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5.75" customHeight="1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15.75" customHeight="1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15.75" customHeight="1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15.75" customHeight="1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5.75" customHeight="1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4:45" ht="15.75" customHeight="1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4:45" ht="15.75" customHeight="1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4:45" ht="15.75" customHeight="1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4:45" ht="15.75" customHeight="1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4:45" ht="15.75" customHeight="1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4:45" ht="15.75" customHeight="1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4:45" ht="15.75" customHeight="1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4:45" ht="15.75" customHeight="1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4:45" ht="15.75" customHeight="1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4:45" ht="15.75" customHeight="1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4:45" ht="15.75" customHeight="1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4:45" ht="15.75" customHeight="1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4:45" ht="15.75" customHeight="1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4:45" ht="15.75" customHeight="1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4:45" ht="15.75" customHeight="1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4:45" ht="15.75" customHeight="1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5.75" customHeight="1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5.75" customHeight="1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5.75" customHeight="1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5.75" customHeight="1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5.75" customHeight="1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5.75" customHeight="1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5.75" customHeight="1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5.75" customHeight="1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5.75" customHeight="1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5.75" customHeight="1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5.75" customHeight="1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5.75" customHeight="1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45" ht="15.75" customHeight="1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45" ht="15.75" customHeight="1">
      <c r="A126"/>
      <c r="B126"/>
      <c r="C126"/>
    </row>
    <row r="127" spans="1:45" ht="15.75" customHeight="1">
      <c r="A127"/>
      <c r="B127"/>
      <c r="C127"/>
    </row>
    <row r="128" spans="1:45" ht="15.75" customHeight="1">
      <c r="A128"/>
      <c r="B128"/>
      <c r="C128"/>
    </row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</sheetData>
  <mergeCells count="102">
    <mergeCell ref="A71:P72"/>
    <mergeCell ref="A69:D70"/>
    <mergeCell ref="E69:E70"/>
    <mergeCell ref="F69:F70"/>
    <mergeCell ref="G69:G70"/>
    <mergeCell ref="H69:I70"/>
    <mergeCell ref="A68:C68"/>
    <mergeCell ref="E68:G68"/>
    <mergeCell ref="H68:I68"/>
    <mergeCell ref="K68:L68"/>
    <mergeCell ref="M68:N68"/>
    <mergeCell ref="O68:P68"/>
    <mergeCell ref="J69:J70"/>
    <mergeCell ref="K69:L70"/>
    <mergeCell ref="M69:N70"/>
    <mergeCell ref="O69:P70"/>
    <mergeCell ref="B62:C62"/>
    <mergeCell ref="B63:C63"/>
    <mergeCell ref="B64:C64"/>
    <mergeCell ref="B65:C65"/>
    <mergeCell ref="A66:D66"/>
    <mergeCell ref="H66:I66"/>
    <mergeCell ref="J66:P67"/>
    <mergeCell ref="A67:D67"/>
    <mergeCell ref="H67:I67"/>
    <mergeCell ref="B61:C61"/>
    <mergeCell ref="J57:J59"/>
    <mergeCell ref="K57:K59"/>
    <mergeCell ref="L57:L59"/>
    <mergeCell ref="M57:M59"/>
    <mergeCell ref="N57:N59"/>
    <mergeCell ref="G57:G58"/>
    <mergeCell ref="H57:H59"/>
    <mergeCell ref="I57:I59"/>
    <mergeCell ref="A56:D56"/>
    <mergeCell ref="A57:C58"/>
    <mergeCell ref="D57:D58"/>
    <mergeCell ref="E57:E58"/>
    <mergeCell ref="F57:F58"/>
    <mergeCell ref="O57:O59"/>
    <mergeCell ref="P57:P59"/>
    <mergeCell ref="B60:C60"/>
    <mergeCell ref="I60:P60"/>
    <mergeCell ref="N31:O33"/>
    <mergeCell ref="N34:O34"/>
    <mergeCell ref="N35:O35"/>
    <mergeCell ref="M41:O41"/>
    <mergeCell ref="A42:D43"/>
    <mergeCell ref="E42:E43"/>
    <mergeCell ref="F42:G43"/>
    <mergeCell ref="H42:H43"/>
    <mergeCell ref="I42:J43"/>
    <mergeCell ref="K42:L43"/>
    <mergeCell ref="M42:O43"/>
    <mergeCell ref="N36:O36"/>
    <mergeCell ref="N37:O37"/>
    <mergeCell ref="N38:O38"/>
    <mergeCell ref="A39:D39"/>
    <mergeCell ref="F39:G39"/>
    <mergeCell ref="B38:C38"/>
    <mergeCell ref="F40:G40"/>
    <mergeCell ref="A48:P49"/>
    <mergeCell ref="A44:O45"/>
    <mergeCell ref="K41:L41"/>
    <mergeCell ref="A41:C41"/>
    <mergeCell ref="F41:G41"/>
    <mergeCell ref="I41:J41"/>
    <mergeCell ref="A40:D40"/>
    <mergeCell ref="B35:C35"/>
    <mergeCell ref="B36:C36"/>
    <mergeCell ref="B37:C37"/>
    <mergeCell ref="M31:M33"/>
    <mergeCell ref="B34:C34"/>
    <mergeCell ref="H31:H33"/>
    <mergeCell ref="I31:I33"/>
    <mergeCell ref="J31:J33"/>
    <mergeCell ref="K31:K33"/>
    <mergeCell ref="L31:L33"/>
    <mergeCell ref="A31:C32"/>
    <mergeCell ref="D31:D32"/>
    <mergeCell ref="E31:E32"/>
    <mergeCell ref="F31:F33"/>
    <mergeCell ref="G31:G33"/>
    <mergeCell ref="A19:S19"/>
    <mergeCell ref="C1:R1"/>
    <mergeCell ref="C18:R18"/>
    <mergeCell ref="D3:Q3"/>
    <mergeCell ref="Q12:R13"/>
    <mergeCell ref="D12:H13"/>
    <mergeCell ref="C15:R15"/>
    <mergeCell ref="M4:O4"/>
    <mergeCell ref="I12:I13"/>
    <mergeCell ref="J4:J6"/>
    <mergeCell ref="A80:C80"/>
    <mergeCell ref="A81:C81"/>
    <mergeCell ref="A82:C82"/>
    <mergeCell ref="A83:O83"/>
    <mergeCell ref="A77:O77"/>
    <mergeCell ref="A78:C78"/>
    <mergeCell ref="E78:G78"/>
    <mergeCell ref="M78:O78"/>
    <mergeCell ref="A79:C79"/>
  </mergeCells>
  <phoneticPr fontId="60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'..'!$BK$3:$BK$18</xm:f>
          </x14:formula1>
          <xm:sqref>I4</xm:sqref>
        </x14:dataValidation>
        <x14:dataValidation type="list" allowBlank="1" showInputMessage="1" showErrorMessage="1">
          <x14:formula1>
            <xm:f>'..'!$BM$3:$BM$8</xm:f>
          </x14:formula1>
          <xm:sqref>P4</xm:sqref>
        </x14:dataValidation>
        <x14:dataValidation type="list" allowBlank="1" showInputMessage="1" showErrorMessage="1">
          <x14:formula1>
            <xm:f>'..'!$BT$3:$BT$10</xm:f>
          </x14:formula1>
          <xm:sqref>I6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04"/>
  <sheetViews>
    <sheetView zoomScale="90" zoomScaleNormal="90" workbookViewId="0">
      <selection activeCell="J4" sqref="J4:J6"/>
    </sheetView>
  </sheetViews>
  <sheetFormatPr defaultColWidth="8" defaultRowHeight="15.75" customHeight="1"/>
  <cols>
    <col min="1" max="1" width="9.75" style="1" customWidth="1"/>
    <col min="2" max="2" width="15.75" style="1" customWidth="1"/>
    <col min="3" max="3" width="23.625" style="1" customWidth="1"/>
    <col min="4" max="4" width="12" customWidth="1"/>
    <col min="5" max="5" width="13.375" customWidth="1"/>
    <col min="6" max="6" width="11.75" customWidth="1"/>
    <col min="7" max="8" width="13.375" customWidth="1"/>
    <col min="9" max="9" width="12.375" customWidth="1"/>
    <col min="10" max="10" width="15.75" customWidth="1"/>
    <col min="11" max="11" width="14.25" customWidth="1"/>
    <col min="12" max="12" width="14.625" customWidth="1"/>
    <col min="13" max="13" width="12.25" customWidth="1"/>
    <col min="14" max="14" width="12.875" customWidth="1"/>
    <col min="15" max="15" width="12.25" customWidth="1"/>
    <col min="16" max="16" width="17" customWidth="1"/>
  </cols>
  <sheetData>
    <row r="1" spans="3:53" ht="24.75" customHeight="1">
      <c r="C1" s="353" t="s">
        <v>0</v>
      </c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3:53" ht="24.75" customHeight="1">
      <c r="D2" s="1"/>
      <c r="E2" s="1"/>
      <c r="F2" s="1"/>
      <c r="G2" s="295"/>
      <c r="H2" s="2" t="s">
        <v>1</v>
      </c>
      <c r="I2" s="2"/>
      <c r="J2" s="3"/>
      <c r="K2" s="4" t="s">
        <v>2</v>
      </c>
      <c r="M2" s="1"/>
      <c r="N2" s="1"/>
      <c r="O2" s="1"/>
      <c r="P2" s="5" t="s">
        <v>3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3:53" ht="22.5" customHeight="1">
      <c r="D3" s="668" t="s">
        <v>181</v>
      </c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3:53" ht="15.75" customHeight="1">
      <c r="E4" s="1"/>
      <c r="F4" s="1"/>
      <c r="G4" s="295"/>
      <c r="H4" s="115" t="s">
        <v>133</v>
      </c>
      <c r="I4" s="317">
        <v>2</v>
      </c>
      <c r="J4" s="501" t="s">
        <v>134</v>
      </c>
      <c r="K4" s="1"/>
      <c r="L4" s="1"/>
      <c r="M4" s="498" t="s">
        <v>135</v>
      </c>
      <c r="N4" s="498"/>
      <c r="O4" s="499"/>
      <c r="P4" s="119" t="s">
        <v>136</v>
      </c>
      <c r="Q4" s="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3:53" ht="15.75" customHeight="1">
      <c r="D5" s="143"/>
      <c r="E5" s="143"/>
      <c r="F5" s="143"/>
      <c r="G5" s="320"/>
      <c r="H5" s="321" t="s">
        <v>4</v>
      </c>
      <c r="I5" s="8">
        <v>2.5</v>
      </c>
      <c r="J5" s="501"/>
      <c r="K5" s="318" t="s">
        <v>89</v>
      </c>
      <c r="L5" s="1"/>
      <c r="M5" s="113"/>
      <c r="N5" s="324"/>
      <c r="O5" s="324" t="s">
        <v>137</v>
      </c>
      <c r="P5" s="10">
        <v>3.2</v>
      </c>
      <c r="Q5" s="1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3:53" ht="15.75" customHeight="1">
      <c r="D6" s="143"/>
      <c r="E6" s="143"/>
      <c r="F6" s="143"/>
      <c r="G6" s="320"/>
      <c r="H6" s="321" t="s">
        <v>9</v>
      </c>
      <c r="I6" s="69">
        <v>35</v>
      </c>
      <c r="J6" s="501"/>
      <c r="L6" s="1"/>
      <c r="M6" s="113"/>
      <c r="N6" s="324"/>
      <c r="O6" s="324" t="s">
        <v>7</v>
      </c>
      <c r="P6" s="12">
        <f>I6*(((I7-I12)/I6)-1)/(P5-1)</f>
        <v>39.772727272727266</v>
      </c>
      <c r="Q6" s="1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3:53" ht="15.75" customHeight="1">
      <c r="D7" s="143"/>
      <c r="E7" s="143"/>
      <c r="F7" s="322"/>
      <c r="G7" s="320"/>
      <c r="H7" s="321" t="s">
        <v>138</v>
      </c>
      <c r="I7" s="16">
        <f>(I6*(I5))+P9</f>
        <v>137.5</v>
      </c>
      <c r="J7" s="315">
        <f>'.'!BT3</f>
        <v>25</v>
      </c>
      <c r="K7" s="316">
        <f>'.'!BV3</f>
        <v>0.25886363636363624</v>
      </c>
      <c r="L7" s="1"/>
      <c r="M7" s="113"/>
      <c r="N7" s="324"/>
      <c r="O7" s="324" t="s">
        <v>10</v>
      </c>
      <c r="P7" s="14">
        <f>P6*(1-I10)</f>
        <v>37.98295454545454</v>
      </c>
      <c r="Q7" s="1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3:53" ht="15.75" customHeight="1">
      <c r="D8" s="143"/>
      <c r="E8" s="143"/>
      <c r="F8" s="143"/>
      <c r="G8" s="320"/>
      <c r="H8" s="323" t="s">
        <v>13</v>
      </c>
      <c r="I8" s="20">
        <f>I6*I5</f>
        <v>87.5</v>
      </c>
      <c r="J8" s="315">
        <f>'.'!BT4</f>
        <v>30</v>
      </c>
      <c r="K8" s="316">
        <f>'.'!BV4</f>
        <v>0.15757575757575756</v>
      </c>
      <c r="L8" s="1"/>
      <c r="M8" s="113"/>
      <c r="N8" s="324"/>
      <c r="O8" s="22" t="s">
        <v>12</v>
      </c>
      <c r="P8" s="18">
        <f>P6*(P5-1)</f>
        <v>87.499999999999986</v>
      </c>
      <c r="Q8" s="18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3:53" ht="15.75" customHeight="1">
      <c r="D9" s="143"/>
      <c r="E9" s="143"/>
      <c r="F9" s="143"/>
      <c r="G9" s="320"/>
      <c r="H9" s="22" t="s">
        <v>14</v>
      </c>
      <c r="I9" s="21">
        <f>I7-I8</f>
        <v>50</v>
      </c>
      <c r="J9" s="315">
        <f>'.'!BT5</f>
        <v>35</v>
      </c>
      <c r="K9" s="316">
        <f>'.'!BV5</f>
        <v>8.5227272727272554E-2</v>
      </c>
      <c r="L9" s="1"/>
      <c r="M9" s="113"/>
      <c r="N9" s="324"/>
      <c r="O9" s="326" t="s">
        <v>139</v>
      </c>
      <c r="P9" s="319">
        <f>IFERROR('.'!CA12,0)</f>
        <v>50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3:53" ht="15.75" customHeight="1">
      <c r="D10" s="143"/>
      <c r="E10" s="143"/>
      <c r="F10" s="143"/>
      <c r="G10" s="320"/>
      <c r="H10" s="324" t="s">
        <v>16</v>
      </c>
      <c r="I10" s="25">
        <f>VLOOKUP(P4,'..'!BM2:BN4,2,FALSE)</f>
        <v>4.4999999999999998E-2</v>
      </c>
      <c r="J10" s="315">
        <f>'.'!BT6</f>
        <v>40</v>
      </c>
      <c r="K10" s="316">
        <f>'.'!BV6</f>
        <v>3.0965909090908995E-2</v>
      </c>
      <c r="L10" s="1"/>
      <c r="M10" s="113"/>
      <c r="N10" s="324"/>
      <c r="O10" s="22" t="s">
        <v>17</v>
      </c>
      <c r="P10" s="26">
        <f>P7-I6</f>
        <v>2.9829545454545396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3:53" ht="15.75" customHeight="1">
      <c r="D11" s="143"/>
      <c r="E11" s="143"/>
      <c r="F11" s="143"/>
      <c r="G11" s="320"/>
      <c r="H11" s="324" t="s">
        <v>140</v>
      </c>
      <c r="I11" s="29">
        <v>0.7</v>
      </c>
      <c r="J11" s="315" t="str">
        <f>'.'!BT7</f>
        <v/>
      </c>
      <c r="K11" s="316" t="str">
        <f>'.'!BV7</f>
        <v/>
      </c>
      <c r="L11" s="1"/>
      <c r="M11" s="113"/>
      <c r="N11" s="324"/>
      <c r="O11" s="324" t="s">
        <v>141</v>
      </c>
      <c r="P11" s="270">
        <f>P10/I6</f>
        <v>8.5227272727272554E-2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3:53" ht="15.75" customHeight="1">
      <c r="D12" s="669" t="s">
        <v>142</v>
      </c>
      <c r="E12" s="669"/>
      <c r="F12" s="669"/>
      <c r="G12" s="669"/>
      <c r="H12" s="669"/>
      <c r="I12" s="500">
        <f>I9*(1-I11)</f>
        <v>15.000000000000002</v>
      </c>
      <c r="J12" s="315" t="str">
        <f>'.'!BT8</f>
        <v/>
      </c>
      <c r="K12" s="316" t="str">
        <f>'.'!BV8</f>
        <v/>
      </c>
      <c r="L12" s="1"/>
      <c r="M12" s="113"/>
      <c r="N12" s="324"/>
      <c r="O12" s="324" t="s">
        <v>143</v>
      </c>
      <c r="P12" s="93">
        <f>((ROUND((I5/(P5-I10))*100,2)-ROUND((I5/(P5-I10))*100,2)*I10))/100</f>
        <v>0.75674200000000003</v>
      </c>
      <c r="Q12" s="670" t="str">
        <f>IF(P12&lt;P13,"QUOTE FUORI RATING MINIMO!!","")</f>
        <v>QUOTE FUORI RATING MINIMO!!</v>
      </c>
      <c r="R12" s="495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3:53" ht="15.75" customHeight="1">
      <c r="D13" s="669"/>
      <c r="E13" s="669"/>
      <c r="F13" s="669"/>
      <c r="G13" s="669"/>
      <c r="H13" s="669"/>
      <c r="I13" s="500"/>
      <c r="J13" s="315" t="str">
        <f>'.'!BT9</f>
        <v/>
      </c>
      <c r="K13" s="316" t="str">
        <f>'.'!BV9</f>
        <v/>
      </c>
      <c r="L13" s="1"/>
      <c r="M13" s="113"/>
      <c r="N13" s="324"/>
      <c r="O13" s="324" t="s">
        <v>144</v>
      </c>
      <c r="P13" s="95">
        <f>IF('.'!CA11=1,'.'!CA8,'.'!CA10)</f>
        <v>0.86</v>
      </c>
      <c r="Q13" s="670"/>
      <c r="R13" s="495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3:53" ht="15.75" customHeight="1">
      <c r="D14" s="325"/>
      <c r="E14" s="325"/>
      <c r="F14" s="325"/>
      <c r="G14" s="325"/>
      <c r="H14" s="324" t="s">
        <v>145</v>
      </c>
      <c r="I14" s="335">
        <f>I8-I6-P8</f>
        <v>-34.999999999999986</v>
      </c>
      <c r="J14" s="315" t="str">
        <f>'.'!BT10</f>
        <v/>
      </c>
      <c r="K14" s="316" t="str">
        <f>'.'!BV10</f>
        <v/>
      </c>
      <c r="L14" s="1"/>
      <c r="M14" s="113"/>
      <c r="N14" s="113"/>
      <c r="P14" s="95"/>
      <c r="Q14" s="297"/>
      <c r="R14" s="297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3:53" ht="20.25" customHeight="1">
      <c r="C15" s="497" t="str">
        <f>IF(P9=0,"ATTENZIONE: IMPORTO PUNTATA FUORI RANGE!!! PUOI PUNTARE SOLO MULTIPLI DI 5 EURO DA UN MINIMO DI "&amp;'..'!CA13&amp;" EURO AD UN MASSIMO DI "&amp;'..'!CA14&amp;" EURO SUL SEGNO SCELTO "&amp;I4,"")</f>
        <v/>
      </c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97"/>
      <c r="O15" s="497"/>
      <c r="P15" s="497"/>
      <c r="Q15" s="497"/>
      <c r="R15" s="497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3:53" ht="6" customHeight="1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66" ht="15.75" customHeight="1">
      <c r="E17" s="121"/>
      <c r="F17" s="327" t="s">
        <v>146</v>
      </c>
      <c r="G17" s="328"/>
      <c r="H17" s="329"/>
      <c r="I17" s="330"/>
      <c r="J17" s="331"/>
      <c r="K17" s="331"/>
      <c r="L17" s="332"/>
      <c r="M17" s="333">
        <v>5</v>
      </c>
      <c r="N17" s="334">
        <f>1/M17</f>
        <v>0.2</v>
      </c>
      <c r="O17" s="114"/>
      <c r="P17" s="122"/>
      <c r="Q17" s="120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</row>
    <row r="18" spans="1:66" ht="47.25" customHeight="1">
      <c r="C18" s="493" t="s">
        <v>147</v>
      </c>
      <c r="D18" s="493"/>
      <c r="E18" s="493"/>
      <c r="F18" s="493"/>
      <c r="G18" s="493"/>
      <c r="H18" s="493"/>
      <c r="I18" s="493"/>
      <c r="J18" s="493"/>
      <c r="K18" s="493"/>
      <c r="L18" s="493"/>
      <c r="M18" s="493"/>
      <c r="N18" s="493"/>
      <c r="O18" s="493"/>
      <c r="P18" s="493"/>
      <c r="Q18" s="493"/>
      <c r="R18" s="493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66" ht="21" customHeight="1">
      <c r="A19" s="492" t="s">
        <v>148</v>
      </c>
      <c r="B19" s="492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92"/>
      <c r="R19" s="492"/>
      <c r="S19" s="492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1:66" ht="21" customHeight="1">
      <c r="A20" s="263"/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 t="s">
        <v>149</v>
      </c>
      <c r="O20" s="263" t="s">
        <v>150</v>
      </c>
      <c r="P20" s="1"/>
      <c r="Q20" s="263"/>
      <c r="R20" s="263"/>
      <c r="S20" s="26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66" ht="15.75" customHeight="1">
      <c r="B21" s="135"/>
      <c r="C21" s="249" t="s">
        <v>151</v>
      </c>
      <c r="D21" s="250"/>
      <c r="E21" s="249"/>
      <c r="F21" s="251"/>
      <c r="G21" s="159"/>
      <c r="H21" s="254">
        <f>P9</f>
        <v>50</v>
      </c>
      <c r="I21" s="159" t="s">
        <v>152</v>
      </c>
      <c r="J21" s="1"/>
      <c r="K21" s="159"/>
      <c r="L21" s="48"/>
      <c r="M21" s="48"/>
      <c r="N21" s="239">
        <f>P10</f>
        <v>2.9829545454545396</v>
      </c>
      <c r="O21" s="311">
        <f>N21</f>
        <v>2.9829545454545396</v>
      </c>
      <c r="P21" s="1"/>
      <c r="Q21" s="135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15.75" customHeight="1">
      <c r="B22" s="135"/>
      <c r="C22" s="249" t="s">
        <v>153</v>
      </c>
      <c r="D22" s="250"/>
      <c r="E22" s="249"/>
      <c r="F22" s="251"/>
      <c r="G22" s="159"/>
      <c r="H22" s="255">
        <f>I14</f>
        <v>-34.999999999999986</v>
      </c>
      <c r="I22" s="261" t="s">
        <v>154</v>
      </c>
      <c r="J22" s="1"/>
      <c r="K22" s="252"/>
      <c r="L22" s="245"/>
      <c r="M22" s="245"/>
      <c r="N22" s="312">
        <f>M38</f>
        <v>4.9147893125557545</v>
      </c>
      <c r="O22" s="313">
        <f ca="1">P54</f>
        <v>6.7406372559354395</v>
      </c>
      <c r="P22" s="1"/>
      <c r="Q22" s="135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ht="15.75" customHeight="1">
      <c r="B23" s="135"/>
      <c r="C23" s="296" t="s">
        <v>155</v>
      </c>
      <c r="D23" s="296"/>
      <c r="E23" s="296"/>
      <c r="F23" s="250"/>
      <c r="G23" s="159"/>
      <c r="H23" s="256">
        <f>L29</f>
        <v>0</v>
      </c>
      <c r="I23" s="262" t="s">
        <v>156</v>
      </c>
      <c r="J23" s="1"/>
      <c r="K23" s="253"/>
      <c r="L23" s="247"/>
      <c r="M23" s="247"/>
      <c r="N23" s="314">
        <f>N30</f>
        <v>4.9147893125554418</v>
      </c>
      <c r="O23" s="313">
        <f ca="1">P55</f>
        <v>6.7406372559354395</v>
      </c>
      <c r="P23" s="1"/>
      <c r="Q23" s="135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ht="15.75" customHeight="1">
      <c r="B24" s="157"/>
      <c r="D24" s="1"/>
      <c r="E24" s="1"/>
      <c r="F24" s="1"/>
      <c r="G24" s="1"/>
      <c r="H24" s="1"/>
      <c r="J24" s="260" t="s">
        <v>89</v>
      </c>
      <c r="K24" s="258" t="s">
        <v>157</v>
      </c>
      <c r="L24" s="259">
        <f>N23/I6</f>
        <v>0.14042255178729834</v>
      </c>
      <c r="M24" s="295" t="s">
        <v>130</v>
      </c>
      <c r="N24" s="257">
        <f>N21/I6</f>
        <v>8.5227272727272554E-2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6" ht="15.75" customHeight="1">
      <c r="B25" s="157"/>
      <c r="C25" s="4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6" ht="15.75" customHeight="1">
      <c r="A26" s="407"/>
      <c r="B26" s="407"/>
      <c r="C26" s="407"/>
      <c r="D26" s="407"/>
      <c r="E26" s="407"/>
      <c r="F26" s="407"/>
      <c r="G26" s="407"/>
      <c r="H26" s="40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51"/>
      <c r="BC26" s="151"/>
      <c r="BD26" s="152"/>
      <c r="BE26" s="153"/>
      <c r="BF26" s="1"/>
      <c r="BG26" s="1"/>
      <c r="BH26" s="1"/>
      <c r="BI26" s="1"/>
      <c r="BJ26" s="1"/>
    </row>
    <row r="27" spans="1:66" ht="15.75" customHeight="1">
      <c r="A27" s="409" t="s">
        <v>90</v>
      </c>
      <c r="B27" s="410"/>
      <c r="C27" s="411"/>
      <c r="D27" s="415">
        <v>50</v>
      </c>
      <c r="E27" s="374" t="s">
        <v>91</v>
      </c>
      <c r="F27" s="674" t="s">
        <v>94</v>
      </c>
      <c r="G27" s="432" t="s">
        <v>95</v>
      </c>
      <c r="H27" s="435" t="s">
        <v>96</v>
      </c>
      <c r="I27" s="438" t="s">
        <v>97</v>
      </c>
      <c r="J27" s="384" t="s">
        <v>98</v>
      </c>
      <c r="K27" s="387" t="s">
        <v>99</v>
      </c>
      <c r="L27" s="384" t="s">
        <v>100</v>
      </c>
      <c r="M27" s="384" t="s">
        <v>101</v>
      </c>
      <c r="N27" s="390" t="s">
        <v>167</v>
      </c>
      <c r="O27" s="39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48"/>
      <c r="BC27" s="148"/>
      <c r="BD27" s="156"/>
      <c r="BE27" s="154"/>
      <c r="BF27" s="1"/>
      <c r="BG27" s="1"/>
      <c r="BH27" s="1"/>
      <c r="BI27" s="1"/>
      <c r="BJ27" s="1"/>
    </row>
    <row r="28" spans="1:66" ht="19.5" customHeight="1">
      <c r="A28" s="412"/>
      <c r="B28" s="413"/>
      <c r="C28" s="414"/>
      <c r="D28" s="522"/>
      <c r="E28" s="673"/>
      <c r="F28" s="675"/>
      <c r="G28" s="433"/>
      <c r="H28" s="436"/>
      <c r="I28" s="677"/>
      <c r="J28" s="666"/>
      <c r="K28" s="678"/>
      <c r="L28" s="666"/>
      <c r="M28" s="666"/>
      <c r="N28" s="667"/>
      <c r="O28" s="39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295">
        <v>1</v>
      </c>
      <c r="BC28" s="1">
        <f>(E34*100-E34*BE28+BE28)/100</f>
        <v>1.65</v>
      </c>
      <c r="BD28" s="154" t="e">
        <f>(BB29*100-BB29*BC29+BC29)/100</f>
        <v>#REF!</v>
      </c>
      <c r="BE28" s="154"/>
      <c r="BF28" s="1"/>
      <c r="BG28" s="1"/>
      <c r="BH28" s="1"/>
      <c r="BI28" s="1"/>
      <c r="BJ28" s="1"/>
    </row>
    <row r="29" spans="1:66" ht="15.75" customHeight="1">
      <c r="A29" s="138" t="s">
        <v>50</v>
      </c>
      <c r="B29" s="672" t="s">
        <v>51</v>
      </c>
      <c r="C29" s="672"/>
      <c r="D29" s="138" t="s">
        <v>52</v>
      </c>
      <c r="E29" s="139" t="s">
        <v>103</v>
      </c>
      <c r="F29" s="676"/>
      <c r="G29" s="434"/>
      <c r="H29" s="437"/>
      <c r="I29" s="440"/>
      <c r="J29" s="386"/>
      <c r="K29" s="389"/>
      <c r="L29" s="386"/>
      <c r="M29" s="386"/>
      <c r="N29" s="394"/>
      <c r="O29" s="395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55" t="e">
        <f>+#REF!*#REF!/BC29</f>
        <v>#REF!</v>
      </c>
      <c r="BC29" s="155" t="e">
        <f>(#REF!*100-#REF!*BE29+BE29)/100</f>
        <v>#REF!</v>
      </c>
      <c r="BD29" s="153">
        <f>BB28</f>
        <v>1</v>
      </c>
      <c r="BE29" s="153"/>
      <c r="BF29" s="1"/>
      <c r="BG29" s="1"/>
      <c r="BH29" s="1"/>
      <c r="BI29" s="1"/>
      <c r="BJ29" s="1"/>
    </row>
    <row r="30" spans="1:66" ht="15.75" customHeight="1">
      <c r="A30" s="140" t="s">
        <v>53</v>
      </c>
      <c r="B30" s="448" t="s">
        <v>57</v>
      </c>
      <c r="C30" s="448"/>
      <c r="D30" s="163">
        <v>1</v>
      </c>
      <c r="E30" s="304">
        <v>1.65</v>
      </c>
      <c r="F30" s="241">
        <v>1.7</v>
      </c>
      <c r="G30" s="201">
        <v>4.4999999999999998E-2</v>
      </c>
      <c r="H30" s="215">
        <f>(H31*(1-$G30))/(F30-$G30)</f>
        <v>41.795590903199404</v>
      </c>
      <c r="I30" s="216"/>
      <c r="J30" s="217">
        <f>IF(I30="",H30*(F30-1),I30*(F30-1))</f>
        <v>29.256913632239581</v>
      </c>
      <c r="K30" s="218">
        <f>IF(I30="",H30-H30*(G30),I30-H30*(G30))</f>
        <v>39.914789312555428</v>
      </c>
      <c r="L30" s="217">
        <f>K30</f>
        <v>39.914789312555428</v>
      </c>
      <c r="M30" s="219">
        <f>L30-(D27)</f>
        <v>-10.085210687444572</v>
      </c>
      <c r="N30" s="556">
        <f>L30+H22</f>
        <v>4.9147893125554418</v>
      </c>
      <c r="O30" s="67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</row>
    <row r="31" spans="1:66" ht="15.75" customHeight="1">
      <c r="A31" s="162" t="s">
        <v>56</v>
      </c>
      <c r="B31" s="448" t="s">
        <v>60</v>
      </c>
      <c r="C31" s="448"/>
      <c r="D31" s="163">
        <v>1</v>
      </c>
      <c r="E31" s="304">
        <v>2.02</v>
      </c>
      <c r="F31" s="223">
        <v>2.08</v>
      </c>
      <c r="G31" s="201">
        <v>4.4999999999999998E-2</v>
      </c>
      <c r="H31" s="221">
        <f>(H32*(1-$G31))/(F31-$G31)</f>
        <v>72.431102559994784</v>
      </c>
      <c r="I31" s="216"/>
      <c r="J31" s="217">
        <f>IF(I31="",H31*(F31-1),I31*(F31-1))</f>
        <v>78.225590764794376</v>
      </c>
      <c r="K31" s="218">
        <f>IF(I31="",H31-H31*(G31),I31-H31*(G31))</f>
        <v>69.171702944795015</v>
      </c>
      <c r="L31" s="217">
        <f>K31-J30</f>
        <v>39.914789312555435</v>
      </c>
      <c r="M31" s="219">
        <f>L31-(D27)</f>
        <v>-10.085210687444565</v>
      </c>
      <c r="N31" s="556">
        <f>L31+H22</f>
        <v>4.9147893125554489</v>
      </c>
      <c r="O31" s="67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</row>
    <row r="32" spans="1:66" ht="15.75" customHeight="1">
      <c r="A32" s="162" t="s">
        <v>59</v>
      </c>
      <c r="B32" s="448" t="s">
        <v>62</v>
      </c>
      <c r="C32" s="448"/>
      <c r="D32" s="163">
        <v>1</v>
      </c>
      <c r="E32" s="304">
        <v>2.37</v>
      </c>
      <c r="F32" s="223">
        <v>2.34</v>
      </c>
      <c r="G32" s="201">
        <v>4.4999999999999998E-2</v>
      </c>
      <c r="H32" s="221">
        <f>(H33*(1-$G32))/(F32-$G32)</f>
        <v>154.34271592627164</v>
      </c>
      <c r="I32" s="202"/>
      <c r="J32" s="217">
        <f>IF(I32="",H32*(F32-1),I32*(F32-1))</f>
        <v>206.81923934120397</v>
      </c>
      <c r="K32" s="218">
        <f>IF(I32="",H32-H32*(G32),I32-H32*(G32))</f>
        <v>147.39729370958941</v>
      </c>
      <c r="L32" s="217">
        <f>K32-J31-J30</f>
        <v>39.914789312555449</v>
      </c>
      <c r="M32" s="219">
        <f>L32-(D27)</f>
        <v>-10.085210687444551</v>
      </c>
      <c r="N32" s="556">
        <f>L32+H22</f>
        <v>4.9147893125554631</v>
      </c>
      <c r="O32" s="67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</row>
    <row r="33" spans="1:62" ht="15.75" customHeight="1">
      <c r="A33" s="162" t="s">
        <v>61</v>
      </c>
      <c r="B33" s="448" t="s">
        <v>64</v>
      </c>
      <c r="C33" s="502"/>
      <c r="D33" s="163">
        <v>1</v>
      </c>
      <c r="E33" s="304">
        <v>1.65</v>
      </c>
      <c r="F33" s="223">
        <v>1.75</v>
      </c>
      <c r="G33" s="201">
        <v>4.4999999999999998E-2</v>
      </c>
      <c r="H33" s="221">
        <f>(H34*(1-$G33))/(F33-$G33)</f>
        <v>370.90736445109258</v>
      </c>
      <c r="I33" s="202"/>
      <c r="J33" s="217">
        <f t="shared" ref="J33:J34" si="0">IF(I33="",H33*(F33-1),I33*(F33-1))</f>
        <v>278.1805233383194</v>
      </c>
      <c r="K33" s="218">
        <f>IF(I33="",H33-H33*(G33),I33-H33*(G33))</f>
        <v>354.21653305079343</v>
      </c>
      <c r="L33" s="217">
        <f>K33-J32-J31-J30</f>
        <v>39.914789312555506</v>
      </c>
      <c r="M33" s="219">
        <f>L33-(D27)</f>
        <v>-10.085210687444494</v>
      </c>
      <c r="N33" s="556">
        <f>L33+H22</f>
        <v>4.91478931255552</v>
      </c>
      <c r="O33" s="557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</row>
    <row r="34" spans="1:62" ht="15.75" customHeight="1">
      <c r="A34" s="162" t="s">
        <v>63</v>
      </c>
      <c r="B34" s="531" t="s">
        <v>66</v>
      </c>
      <c r="C34" s="532"/>
      <c r="D34" s="163">
        <v>1</v>
      </c>
      <c r="E34" s="305">
        <v>1.65</v>
      </c>
      <c r="F34" s="271">
        <v>1.75</v>
      </c>
      <c r="G34" s="272">
        <v>4.4999999999999998E-2</v>
      </c>
      <c r="H34" s="273">
        <f>(((D27*(G36-1)+D27))/($F34-G34))</f>
        <v>662.1958705645161</v>
      </c>
      <c r="I34" s="274"/>
      <c r="J34" s="275">
        <f t="shared" si="0"/>
        <v>496.64690292338707</v>
      </c>
      <c r="K34" s="276">
        <f>IF(I34="",H34-H34*(G34),I34-H34*(G34))</f>
        <v>632.39705638911289</v>
      </c>
      <c r="L34" s="275">
        <f>K34-J33-J32-J31-J30</f>
        <v>39.914789312555563</v>
      </c>
      <c r="M34" s="277">
        <f>L34-(D27)</f>
        <v>-10.085210687444437</v>
      </c>
      <c r="N34" s="556">
        <f>L34+H22</f>
        <v>4.9147893125555768</v>
      </c>
      <c r="O34" s="557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2" ht="15.75" customHeight="1">
      <c r="A35" s="679" t="s">
        <v>182</v>
      </c>
      <c r="B35" s="679"/>
      <c r="C35" s="679"/>
      <c r="D35" s="679"/>
      <c r="E35" s="200">
        <f>E30*E31*E32*E33*E34</f>
        <v>21.505599224999997</v>
      </c>
      <c r="F35" s="609"/>
      <c r="G35" s="609" t="s">
        <v>112</v>
      </c>
      <c r="H35" s="681"/>
      <c r="I35" s="659" t="s">
        <v>183</v>
      </c>
      <c r="J35" s="659"/>
      <c r="K35" s="659"/>
      <c r="L35" s="659"/>
      <c r="M35" s="659"/>
      <c r="N35" s="659"/>
      <c r="O35" s="660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2" ht="33" customHeight="1">
      <c r="A36" s="471" t="s">
        <v>48</v>
      </c>
      <c r="B36" s="471"/>
      <c r="C36" s="471"/>
      <c r="D36" s="471"/>
      <c r="E36" s="198">
        <f>D27</f>
        <v>50</v>
      </c>
      <c r="F36" s="680"/>
      <c r="G36" s="615">
        <f>F38/D27</f>
        <v>22.580879186249998</v>
      </c>
      <c r="H36" s="682"/>
      <c r="I36" s="661"/>
      <c r="J36" s="661"/>
      <c r="K36" s="661"/>
      <c r="L36" s="661"/>
      <c r="M36" s="661"/>
      <c r="N36" s="661"/>
      <c r="O36" s="66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</row>
    <row r="37" spans="1:62" ht="31.5" customHeight="1">
      <c r="A37" s="472" t="s">
        <v>114</v>
      </c>
      <c r="B37" s="472"/>
      <c r="C37" s="472"/>
      <c r="D37" s="214">
        <f>D27*(1)</f>
        <v>50</v>
      </c>
      <c r="E37" s="194">
        <f>E36</f>
        <v>50</v>
      </c>
      <c r="F37" s="474" t="s">
        <v>168</v>
      </c>
      <c r="G37" s="683"/>
      <c r="H37" s="149" t="s">
        <v>116</v>
      </c>
      <c r="I37" s="476" t="s">
        <v>117</v>
      </c>
      <c r="J37" s="477"/>
      <c r="K37" s="684" t="s">
        <v>170</v>
      </c>
      <c r="L37" s="685"/>
      <c r="M37" s="686" t="s">
        <v>119</v>
      </c>
      <c r="N37" s="687"/>
      <c r="O37" s="68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</row>
    <row r="38" spans="1:62" ht="15.75" customHeight="1">
      <c r="A38" s="639" t="s">
        <v>120</v>
      </c>
      <c r="B38" s="639"/>
      <c r="C38" s="639"/>
      <c r="D38" s="689"/>
      <c r="E38" s="455">
        <f>E35*E36</f>
        <v>1075.2799612499998</v>
      </c>
      <c r="F38" s="378">
        <f>E38*1.05</f>
        <v>1129.0439593125</v>
      </c>
      <c r="G38" s="378"/>
      <c r="H38" s="457">
        <f>D37-D27</f>
        <v>0</v>
      </c>
      <c r="I38" s="459">
        <f>J30+J31+J32+J33+J34</f>
        <v>1089.1291699999442</v>
      </c>
      <c r="J38" s="459"/>
      <c r="K38" s="574">
        <f>H22</f>
        <v>-34.999999999999986</v>
      </c>
      <c r="L38" s="464"/>
      <c r="M38" s="461">
        <f>F38-I38+K38</f>
        <v>4.9147893125557545</v>
      </c>
      <c r="N38" s="461"/>
      <c r="O38" s="46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</row>
    <row r="39" spans="1:62" ht="15.75" customHeight="1">
      <c r="A39" s="690"/>
      <c r="B39" s="690"/>
      <c r="C39" s="690"/>
      <c r="D39" s="691"/>
      <c r="E39" s="456"/>
      <c r="F39" s="379"/>
      <c r="G39" s="379"/>
      <c r="H39" s="458"/>
      <c r="I39" s="460"/>
      <c r="J39" s="460"/>
      <c r="K39" s="575"/>
      <c r="L39" s="466"/>
      <c r="M39" s="462"/>
      <c r="N39" s="462"/>
      <c r="O39" s="46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</row>
    <row r="40" spans="1:62" ht="15.75" customHeight="1">
      <c r="A40" s="441" t="s">
        <v>121</v>
      </c>
      <c r="B40" s="442"/>
      <c r="C40" s="442"/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44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</row>
    <row r="41" spans="1:62" ht="15.75" customHeight="1">
      <c r="A41" s="444"/>
      <c r="B41" s="445"/>
      <c r="C41" s="445"/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</row>
    <row r="42" spans="1:62" ht="15.75" customHeight="1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</row>
    <row r="43" spans="1:62" ht="30.75" customHeight="1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62" ht="24" customHeight="1">
      <c r="A44" s="654" t="s">
        <v>184</v>
      </c>
      <c r="B44" s="654"/>
      <c r="C44" s="654"/>
      <c r="D44" s="654"/>
      <c r="E44" s="654"/>
      <c r="F44" s="654"/>
      <c r="G44" s="654"/>
      <c r="H44" s="654"/>
      <c r="I44" s="654"/>
      <c r="J44" s="654"/>
      <c r="K44" s="654"/>
      <c r="L44" s="654"/>
      <c r="M44" s="654"/>
      <c r="N44" s="654"/>
      <c r="O44" s="654"/>
      <c r="P44" s="65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</row>
    <row r="45" spans="1:62" ht="15.75" customHeight="1">
      <c r="A45" s="654"/>
      <c r="B45" s="654"/>
      <c r="C45" s="654"/>
      <c r="D45" s="654"/>
      <c r="E45" s="654"/>
      <c r="F45" s="654"/>
      <c r="G45" s="654"/>
      <c r="H45" s="654"/>
      <c r="I45" s="654"/>
      <c r="J45" s="654"/>
      <c r="K45" s="654"/>
      <c r="L45" s="654"/>
      <c r="M45" s="654"/>
      <c r="N45" s="654"/>
      <c r="O45" s="654"/>
      <c r="P45" s="65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</row>
    <row r="46" spans="1:62" ht="15.75" customHeight="1">
      <c r="A46" s="654"/>
      <c r="B46" s="654"/>
      <c r="C46" s="654"/>
      <c r="D46" s="654"/>
      <c r="E46" s="654"/>
      <c r="F46" s="654"/>
      <c r="G46" s="654"/>
      <c r="H46" s="654"/>
      <c r="I46" s="654"/>
      <c r="J46" s="654"/>
      <c r="K46" s="654"/>
      <c r="L46" s="654"/>
      <c r="M46" s="654"/>
      <c r="N46" s="654"/>
      <c r="O46" s="654"/>
      <c r="P46" s="654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</row>
    <row r="47" spans="1:62" ht="15.75" customHeight="1">
      <c r="A47" s="654"/>
      <c r="B47" s="654"/>
      <c r="C47" s="654"/>
      <c r="D47" s="654"/>
      <c r="E47" s="654"/>
      <c r="F47" s="654"/>
      <c r="G47" s="654"/>
      <c r="H47" s="654"/>
      <c r="I47" s="654"/>
      <c r="J47" s="654"/>
      <c r="K47" s="654"/>
      <c r="L47" s="654"/>
      <c r="M47" s="654"/>
      <c r="N47" s="654"/>
      <c r="O47" s="654"/>
      <c r="P47" s="65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</row>
    <row r="48" spans="1:62" ht="15.75" customHeight="1">
      <c r="A48" s="295"/>
      <c r="B48" s="295"/>
      <c r="C48" s="295"/>
      <c r="D48" s="295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</row>
    <row r="49" spans="1:63" ht="15.75" customHeight="1">
      <c r="A49" s="295"/>
      <c r="B49" s="295"/>
      <c r="C49" s="295"/>
      <c r="D49" s="295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</row>
    <row r="50" spans="1:63" ht="15.75" customHeight="1">
      <c r="A50" s="409" t="s">
        <v>172</v>
      </c>
      <c r="B50" s="410"/>
      <c r="C50" s="410"/>
      <c r="D50" s="580">
        <v>50</v>
      </c>
      <c r="E50" s="374" t="s">
        <v>91</v>
      </c>
      <c r="F50" s="399" t="s">
        <v>92</v>
      </c>
      <c r="G50" s="694" t="s">
        <v>93</v>
      </c>
      <c r="H50" s="605" t="s">
        <v>94</v>
      </c>
      <c r="I50" s="607" t="s">
        <v>95</v>
      </c>
      <c r="J50" s="435" t="s">
        <v>96</v>
      </c>
      <c r="K50" s="438" t="s">
        <v>173</v>
      </c>
      <c r="L50" s="384" t="s">
        <v>98</v>
      </c>
      <c r="M50" s="387" t="s">
        <v>99</v>
      </c>
      <c r="N50" s="384" t="s">
        <v>100</v>
      </c>
      <c r="O50" s="384" t="s">
        <v>101</v>
      </c>
      <c r="P50" s="391" t="s">
        <v>167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</row>
    <row r="51" spans="1:63" ht="15.75" customHeight="1">
      <c r="A51" s="412"/>
      <c r="B51" s="413"/>
      <c r="C51" s="413"/>
      <c r="D51" s="581"/>
      <c r="E51" s="692"/>
      <c r="F51" s="693"/>
      <c r="G51" s="695"/>
      <c r="H51" s="526"/>
      <c r="I51" s="529"/>
      <c r="J51" s="436"/>
      <c r="K51" s="677"/>
      <c r="L51" s="666"/>
      <c r="M51" s="678"/>
      <c r="N51" s="666"/>
      <c r="O51" s="666"/>
      <c r="P51" s="393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48"/>
      <c r="BD51" s="148"/>
      <c r="BE51" s="156"/>
      <c r="BF51" s="154"/>
      <c r="BG51" s="1"/>
      <c r="BH51" s="1"/>
      <c r="BI51" s="1"/>
      <c r="BJ51" s="1"/>
      <c r="BK51" s="1"/>
    </row>
    <row r="52" spans="1:63" ht="24" customHeight="1">
      <c r="A52" s="138" t="s">
        <v>50</v>
      </c>
      <c r="B52" s="138" t="s">
        <v>51</v>
      </c>
      <c r="C52" s="138"/>
      <c r="D52" s="306" t="s">
        <v>52</v>
      </c>
      <c r="E52" s="294" t="s">
        <v>103</v>
      </c>
      <c r="F52" s="294" t="s">
        <v>104</v>
      </c>
      <c r="G52" s="294" t="s">
        <v>105</v>
      </c>
      <c r="H52" s="606"/>
      <c r="I52" s="608"/>
      <c r="J52" s="437"/>
      <c r="K52" s="440"/>
      <c r="L52" s="386"/>
      <c r="M52" s="389"/>
      <c r="N52" s="386"/>
      <c r="O52" s="386"/>
      <c r="P52" s="395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295">
        <v>1</v>
      </c>
      <c r="BD52" s="1">
        <f ca="1">(E61*100-E61*BF52+BF52)/100</f>
        <v>13.782656249999997</v>
      </c>
      <c r="BE52" s="154">
        <f ca="1">(BC54*100-BC54*BD54+BD54)/100</f>
        <v>0.75356394230769208</v>
      </c>
      <c r="BF52" s="154"/>
      <c r="BG52" s="1"/>
      <c r="BH52" s="1"/>
      <c r="BI52" s="1"/>
      <c r="BJ52" s="1"/>
      <c r="BK52" s="1"/>
    </row>
    <row r="53" spans="1:63" ht="15.75" customHeight="1">
      <c r="A53" s="140" t="s">
        <v>53</v>
      </c>
      <c r="B53" s="447" t="s">
        <v>106</v>
      </c>
      <c r="C53" s="447"/>
      <c r="D53" s="307" t="s">
        <v>55</v>
      </c>
      <c r="E53" s="308">
        <v>2.25</v>
      </c>
      <c r="F53" s="309">
        <v>3.55</v>
      </c>
      <c r="G53" s="310">
        <v>3.25</v>
      </c>
      <c r="H53" s="167" t="s">
        <v>107</v>
      </c>
      <c r="I53" s="696" t="s">
        <v>174</v>
      </c>
      <c r="J53" s="697"/>
      <c r="K53" s="697"/>
      <c r="L53" s="697"/>
      <c r="M53" s="697"/>
      <c r="N53" s="697"/>
      <c r="O53" s="697"/>
      <c r="P53" s="698"/>
      <c r="Q53" s="16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>
        <f ca="1">+BD52*BC52/BD53</f>
        <v>0.63380281690140838</v>
      </c>
      <c r="BD53" s="1">
        <f>(F61*100-F61*BF53+BF53)/100</f>
        <v>0</v>
      </c>
      <c r="BE53" s="154">
        <f ca="1">(BC53*100-BC53*BD53+BD53)/100</f>
        <v>0.71343594190140835</v>
      </c>
      <c r="BF53" s="154"/>
      <c r="BG53" s="1"/>
      <c r="BH53" s="1"/>
      <c r="BI53" s="1"/>
      <c r="BJ53" s="1"/>
      <c r="BK53" s="1"/>
    </row>
    <row r="54" spans="1:63" ht="15.75" customHeight="1">
      <c r="A54" s="162" t="s">
        <v>56</v>
      </c>
      <c r="B54" s="448" t="s">
        <v>57</v>
      </c>
      <c r="C54" s="448"/>
      <c r="D54" s="163">
        <v>1</v>
      </c>
      <c r="E54" s="195">
        <v>1.65</v>
      </c>
      <c r="F54" s="165">
        <f>E54</f>
        <v>1.65</v>
      </c>
      <c r="G54" s="165">
        <f>E54</f>
        <v>1.65</v>
      </c>
      <c r="H54" s="196">
        <v>1.7</v>
      </c>
      <c r="I54" s="170">
        <v>4.4999999999999998E-2</v>
      </c>
      <c r="J54" s="215">
        <f ca="1">(J55*(1-$I54))/(H54-$I54)</f>
        <v>43.744122781084229</v>
      </c>
      <c r="K54" s="216"/>
      <c r="L54" s="217">
        <f ca="1">IF(K54="",J54*(H54-1),K54*(H54-1))</f>
        <v>30.620885946758957</v>
      </c>
      <c r="M54" s="218">
        <f ca="1">IF(K54="",J54-J54*(I54),K54-J54*(I54))</f>
        <v>41.775637255935436</v>
      </c>
      <c r="N54" s="217">
        <f ca="1">M54</f>
        <v>41.775637255935436</v>
      </c>
      <c r="O54" s="219">
        <f ca="1">N54-(D50)</f>
        <v>-8.2243627440645639</v>
      </c>
      <c r="P54" s="220">
        <f ca="1">N54+#REF!</f>
        <v>6.7406372559354395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55">
        <f ca="1">+BD53*BC53/BD54</f>
        <v>0.69230769230769218</v>
      </c>
      <c r="BD54" s="155">
        <f>(G61*100-G61*BF54+BF54)/100</f>
        <v>0</v>
      </c>
      <c r="BE54" s="153">
        <f>BC52</f>
        <v>1</v>
      </c>
      <c r="BF54" s="153"/>
      <c r="BG54" s="1"/>
      <c r="BH54" s="1"/>
      <c r="BI54" s="1"/>
      <c r="BJ54" s="1"/>
      <c r="BK54" s="1"/>
    </row>
    <row r="55" spans="1:63" ht="15.75" customHeight="1">
      <c r="A55" s="162" t="s">
        <v>59</v>
      </c>
      <c r="B55" s="448" t="s">
        <v>60</v>
      </c>
      <c r="C55" s="448"/>
      <c r="D55" s="163">
        <v>1</v>
      </c>
      <c r="E55" s="195">
        <v>2.02</v>
      </c>
      <c r="F55" s="165">
        <f t="shared" ref="F55:F58" si="1">E55</f>
        <v>2.02</v>
      </c>
      <c r="G55" s="166">
        <f t="shared" ref="G55:G58" si="2">E55</f>
        <v>2.02</v>
      </c>
      <c r="H55" s="196">
        <v>2.08</v>
      </c>
      <c r="I55" s="201">
        <v>4.4999999999999998E-2</v>
      </c>
      <c r="J55" s="221">
        <f ca="1">(J56*(1-$I55))/(H55-$I55)</f>
        <v>75.807877699156435</v>
      </c>
      <c r="K55" s="216"/>
      <c r="L55" s="217">
        <f ca="1">IF(K55="",J55*(H55-1),K55*(H55-1))</f>
        <v>81.87250791508896</v>
      </c>
      <c r="M55" s="218">
        <f ca="1">IF(K55="",J55-J55*(I55),K55-J55*(I55))</f>
        <v>72.396523202694397</v>
      </c>
      <c r="N55" s="217">
        <f ca="1">M55-L54</f>
        <v>41.775637255935436</v>
      </c>
      <c r="O55" s="219">
        <f ca="1">N55-(D50)</f>
        <v>-8.2243627440645639</v>
      </c>
      <c r="P55" s="220">
        <f ca="1">N55+#REF!</f>
        <v>6.7406372559354395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15.75" customHeight="1">
      <c r="A56" s="162" t="s">
        <v>61</v>
      </c>
      <c r="B56" s="448" t="s">
        <v>62</v>
      </c>
      <c r="C56" s="448"/>
      <c r="D56" s="163">
        <v>1</v>
      </c>
      <c r="E56" s="195">
        <v>2.37</v>
      </c>
      <c r="F56" s="165">
        <f t="shared" si="1"/>
        <v>2.37</v>
      </c>
      <c r="G56" s="166">
        <f t="shared" si="2"/>
        <v>2.37</v>
      </c>
      <c r="H56" s="196">
        <v>2.34</v>
      </c>
      <c r="I56" s="201">
        <v>4.4999999999999998E-2</v>
      </c>
      <c r="J56" s="221">
        <f ca="1">(J57*(1-$I56))/(H56-$I56)</f>
        <v>161.5382524793543</v>
      </c>
      <c r="K56" s="202"/>
      <c r="L56" s="217">
        <f ca="1">IF(K56="",J56*(H56-1),K56*(H56-1))</f>
        <v>216.46125832233474</v>
      </c>
      <c r="M56" s="218">
        <f ca="1">IF(K56="",J56-J56*(I56),K56-J56*(I56))</f>
        <v>154.26903111778336</v>
      </c>
      <c r="N56" s="217">
        <f ca="1">M56-L55-L54</f>
        <v>41.775637255935436</v>
      </c>
      <c r="O56" s="219">
        <f ca="1">N56-(D50)</f>
        <v>-8.2243627440645639</v>
      </c>
      <c r="P56" s="220">
        <f ca="1">N56+#REF!</f>
        <v>6.7406372559354395</v>
      </c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15.75" customHeight="1">
      <c r="A57" s="162" t="s">
        <v>63</v>
      </c>
      <c r="B57" s="448" t="s">
        <v>64</v>
      </c>
      <c r="C57" s="448"/>
      <c r="D57" s="163">
        <v>1</v>
      </c>
      <c r="E57" s="195">
        <v>1.65</v>
      </c>
      <c r="F57" s="165">
        <f t="shared" si="1"/>
        <v>1.65</v>
      </c>
      <c r="G57" s="166">
        <f t="shared" si="2"/>
        <v>1.65</v>
      </c>
      <c r="H57" s="196">
        <v>1.75</v>
      </c>
      <c r="I57" s="201">
        <v>4.4999999999999998E-2</v>
      </c>
      <c r="J57" s="221">
        <f ca="1">(J58*(1-$I57))/(H57-$I57)</f>
        <v>388.19925595823884</v>
      </c>
      <c r="K57" s="202"/>
      <c r="L57" s="217">
        <f t="shared" ref="L57:L58" ca="1" si="3">IF(K57="",J57*(H57-1),K57*(H57-1))</f>
        <v>291.14944196867913</v>
      </c>
      <c r="M57" s="218">
        <f ca="1">IF(K57="",J57-J57*(I57),K57-J57*(I57))</f>
        <v>370.7302894401181</v>
      </c>
      <c r="N57" s="217">
        <f ca="1">M57-L56-L55-L54</f>
        <v>41.775637255935436</v>
      </c>
      <c r="O57" s="219">
        <f ca="1">N57-(D50)</f>
        <v>-8.2243627440645639</v>
      </c>
      <c r="P57" s="220">
        <f ca="1">N57+#REF!</f>
        <v>6.7406372559354395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15.75" customHeight="1">
      <c r="A58" s="162" t="s">
        <v>65</v>
      </c>
      <c r="B58" s="448" t="s">
        <v>66</v>
      </c>
      <c r="C58" s="448"/>
      <c r="D58" s="163">
        <v>1</v>
      </c>
      <c r="E58" s="197">
        <v>1</v>
      </c>
      <c r="F58" s="165">
        <f t="shared" si="1"/>
        <v>1</v>
      </c>
      <c r="G58" s="166">
        <f t="shared" si="2"/>
        <v>1</v>
      </c>
      <c r="H58" s="199">
        <v>1</v>
      </c>
      <c r="I58" s="201">
        <v>4.4999999999999998E-2</v>
      </c>
      <c r="J58" s="221">
        <f ca="1">(((D50*(H60-1)+D50))/($H58-I58))</f>
        <v>693.06778157989243</v>
      </c>
      <c r="K58" s="202"/>
      <c r="L58" s="217">
        <f t="shared" ca="1" si="3"/>
        <v>0</v>
      </c>
      <c r="M58" s="218">
        <f ca="1">IF(K58="",J58-J58*(I58),K58-J58*(I58))</f>
        <v>661.87973140879728</v>
      </c>
      <c r="N58" s="217">
        <f ca="1">M58-L57-L56-L55-L54</f>
        <v>41.775637255935493</v>
      </c>
      <c r="O58" s="219">
        <f ca="1">N58-(D50)</f>
        <v>-8.2243627440645071</v>
      </c>
      <c r="P58" s="222">
        <f ca="1">N58+#REF!</f>
        <v>6.7406372559354963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19.5" customHeight="1">
      <c r="A59" s="404" t="s">
        <v>83</v>
      </c>
      <c r="B59" s="404"/>
      <c r="C59" s="404"/>
      <c r="D59" s="404"/>
      <c r="E59" s="142">
        <f>E53*E54*E55*E56*E57*E58</f>
        <v>29.325817124999997</v>
      </c>
      <c r="F59" s="142">
        <f t="shared" ref="F59:G59" si="4">F53*F54*F55*F56*F57*F58</f>
        <v>46.269622574999993</v>
      </c>
      <c r="G59" s="142">
        <f t="shared" si="4"/>
        <v>42.359513625000005</v>
      </c>
      <c r="H59" s="609" t="s">
        <v>112</v>
      </c>
      <c r="I59" s="610"/>
      <c r="J59" s="659" t="s">
        <v>183</v>
      </c>
      <c r="K59" s="659"/>
      <c r="L59" s="659"/>
      <c r="M59" s="659"/>
      <c r="N59" s="659"/>
      <c r="O59" s="659"/>
      <c r="P59" s="660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" customHeight="1">
      <c r="A60" s="471" t="s">
        <v>48</v>
      </c>
      <c r="B60" s="471"/>
      <c r="C60" s="471"/>
      <c r="D60" s="471"/>
      <c r="E60" s="211">
        <f ca="1">D61/SUM(BC52:BC54)*BC52</f>
        <v>21.495109455053566</v>
      </c>
      <c r="F60" s="212">
        <f ca="1">D61/SUM(BC52:BC54)*BC53</f>
        <v>13.623660922217052</v>
      </c>
      <c r="G60" s="213">
        <f ca="1">D61/SUM(BC52:BC54)*BC54</f>
        <v>14.881229622729391</v>
      </c>
      <c r="H60" s="615">
        <f ca="1">H62/D50</f>
        <v>13.237594628175946</v>
      </c>
      <c r="I60" s="616"/>
      <c r="J60" s="661"/>
      <c r="K60" s="661"/>
      <c r="L60" s="661"/>
      <c r="M60" s="661"/>
      <c r="N60" s="661"/>
      <c r="O60" s="661"/>
      <c r="P60" s="662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30.75" customHeight="1">
      <c r="A61" s="472" t="s">
        <v>114</v>
      </c>
      <c r="B61" s="472"/>
      <c r="C61" s="472"/>
      <c r="D61" s="214">
        <f>D50*(1)</f>
        <v>50</v>
      </c>
      <c r="E61" s="473">
        <f ca="1">E60+F60+G60</f>
        <v>50.000000000000014</v>
      </c>
      <c r="F61" s="473"/>
      <c r="G61" s="473"/>
      <c r="H61" s="474" t="s">
        <v>168</v>
      </c>
      <c r="I61" s="683"/>
      <c r="J61" s="149" t="s">
        <v>116</v>
      </c>
      <c r="K61" s="663" t="s">
        <v>117</v>
      </c>
      <c r="L61" s="664"/>
      <c r="M61" s="478" t="s">
        <v>170</v>
      </c>
      <c r="N61" s="665"/>
      <c r="O61" s="626" t="s">
        <v>119</v>
      </c>
      <c r="P61" s="627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15.75" customHeight="1">
      <c r="A62" s="639" t="s">
        <v>120</v>
      </c>
      <c r="B62" s="639"/>
      <c r="C62" s="639"/>
      <c r="D62" s="689"/>
      <c r="E62" s="647">
        <f ca="1">E59*E60</f>
        <v>630.36164896075923</v>
      </c>
      <c r="F62" s="647">
        <f ca="1">F59*F60</f>
        <v>630.36164896075934</v>
      </c>
      <c r="G62" s="647">
        <f ca="1">G59*G60</f>
        <v>630.36164896075934</v>
      </c>
      <c r="H62" s="378">
        <f ca="1">G62*1.05</f>
        <v>661.87973140879728</v>
      </c>
      <c r="I62" s="378"/>
      <c r="J62" s="457">
        <f>D61-D50</f>
        <v>0</v>
      </c>
      <c r="K62" s="459">
        <f ca="1">L54+L55+L56+L57+L58</f>
        <v>620.10409415286176</v>
      </c>
      <c r="L62" s="459"/>
      <c r="M62" s="574">
        <f>K22</f>
        <v>0</v>
      </c>
      <c r="N62" s="464"/>
      <c r="O62" s="655">
        <f ca="1">H62-K62+M62</f>
        <v>6.7406372559355248</v>
      </c>
      <c r="P62" s="632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30.75" customHeight="1">
      <c r="A63" s="690"/>
      <c r="B63" s="690"/>
      <c r="C63" s="690"/>
      <c r="D63" s="691"/>
      <c r="E63" s="699"/>
      <c r="F63" s="699"/>
      <c r="G63" s="699"/>
      <c r="H63" s="379"/>
      <c r="I63" s="379"/>
      <c r="J63" s="458"/>
      <c r="K63" s="460"/>
      <c r="L63" s="460"/>
      <c r="M63" s="575"/>
      <c r="N63" s="466"/>
      <c r="O63" s="462"/>
      <c r="P63" s="466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15.75" customHeight="1">
      <c r="A64" s="441" t="s">
        <v>121</v>
      </c>
      <c r="B64" s="442"/>
      <c r="C64" s="442"/>
      <c r="D64" s="442"/>
      <c r="E64" s="442"/>
      <c r="F64" s="442"/>
      <c r="G64" s="442"/>
      <c r="H64" s="442"/>
      <c r="I64" s="442"/>
      <c r="J64" s="442"/>
      <c r="K64" s="442"/>
      <c r="L64" s="442"/>
      <c r="M64" s="442"/>
      <c r="N64" s="442"/>
      <c r="O64" s="442"/>
      <c r="P64" s="442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15.75" customHeight="1">
      <c r="A65" s="444"/>
      <c r="B65" s="445"/>
      <c r="C65" s="445"/>
      <c r="D65" s="445"/>
      <c r="E65" s="445"/>
      <c r="F65" s="445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15.75" customHeight="1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63" ht="15.75" customHeight="1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63" ht="15.75" customHeight="1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63" ht="15.75" customHeight="1">
      <c r="A69" s="656" t="s">
        <v>185</v>
      </c>
      <c r="B69" s="657"/>
      <c r="C69" s="657"/>
      <c r="D69" s="657"/>
      <c r="E69" s="657"/>
      <c r="F69" s="657"/>
      <c r="G69" s="657"/>
      <c r="H69" s="657"/>
      <c r="I69" s="657"/>
      <c r="J69" s="657"/>
      <c r="K69" s="657"/>
      <c r="L69" s="657"/>
      <c r="M69" s="657"/>
      <c r="N69" s="657"/>
      <c r="O69" s="658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63" ht="15.75" customHeight="1">
      <c r="A70" s="370" t="s">
        <v>186</v>
      </c>
      <c r="B70" s="371"/>
      <c r="C70" s="371"/>
      <c r="D70" s="298" t="s">
        <v>124</v>
      </c>
      <c r="E70" s="489" t="s">
        <v>178</v>
      </c>
      <c r="F70" s="489"/>
      <c r="G70" s="489"/>
      <c r="H70" s="298"/>
      <c r="I70" s="299" t="s">
        <v>179</v>
      </c>
      <c r="J70" s="299"/>
      <c r="K70" s="299"/>
      <c r="L70" s="1"/>
      <c r="M70" s="490" t="s">
        <v>128</v>
      </c>
      <c r="N70" s="490"/>
      <c r="O70" s="49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63" ht="15.75" customHeight="1">
      <c r="A71" s="362">
        <v>50</v>
      </c>
      <c r="B71" s="363"/>
      <c r="C71" s="363"/>
      <c r="D71" s="300">
        <v>12</v>
      </c>
      <c r="E71" s="300"/>
      <c r="F71" s="301">
        <f>A71*D71/3</f>
        <v>200</v>
      </c>
      <c r="G71" s="300"/>
      <c r="H71" s="300"/>
      <c r="I71" s="302">
        <v>0.2</v>
      </c>
      <c r="J71" s="300" t="s">
        <v>129</v>
      </c>
      <c r="K71" s="302">
        <v>0.25</v>
      </c>
      <c r="L71" s="1"/>
      <c r="M71" s="301">
        <f>F71*I71</f>
        <v>40</v>
      </c>
      <c r="N71" s="300" t="s">
        <v>130</v>
      </c>
      <c r="O71" s="303">
        <f>F71*K71</f>
        <v>50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63" ht="15.75" customHeight="1">
      <c r="A72" s="362">
        <v>60</v>
      </c>
      <c r="B72" s="363"/>
      <c r="C72" s="363"/>
      <c r="D72" s="300">
        <v>12</v>
      </c>
      <c r="E72" s="300"/>
      <c r="F72" s="301">
        <f t="shared" ref="F72:F74" si="5">A72*D72/3</f>
        <v>240</v>
      </c>
      <c r="G72" s="300"/>
      <c r="H72" s="300"/>
      <c r="I72" s="302">
        <v>0.2</v>
      </c>
      <c r="J72" s="300" t="s">
        <v>129</v>
      </c>
      <c r="K72" s="302">
        <v>0.25</v>
      </c>
      <c r="L72" s="1"/>
      <c r="M72" s="301">
        <f>F72*I72</f>
        <v>48</v>
      </c>
      <c r="N72" s="300" t="s">
        <v>130</v>
      </c>
      <c r="O72" s="303">
        <f>F72*K72</f>
        <v>60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63" ht="15.75" customHeight="1">
      <c r="A73" s="362">
        <v>80</v>
      </c>
      <c r="B73" s="363"/>
      <c r="C73" s="363"/>
      <c r="D73" s="300">
        <v>12</v>
      </c>
      <c r="E73" s="300"/>
      <c r="F73" s="301">
        <f t="shared" si="5"/>
        <v>320</v>
      </c>
      <c r="G73" s="300"/>
      <c r="H73" s="300"/>
      <c r="I73" s="302">
        <v>0.2</v>
      </c>
      <c r="J73" s="300" t="s">
        <v>129</v>
      </c>
      <c r="K73" s="302">
        <v>0.25</v>
      </c>
      <c r="L73" s="1"/>
      <c r="M73" s="301">
        <f>F73*I73</f>
        <v>64</v>
      </c>
      <c r="N73" s="300" t="s">
        <v>130</v>
      </c>
      <c r="O73" s="303">
        <f>F73*K73</f>
        <v>80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63" ht="15.75" customHeight="1">
      <c r="A74" s="362">
        <v>100</v>
      </c>
      <c r="B74" s="363"/>
      <c r="C74" s="363"/>
      <c r="D74" s="300">
        <v>12</v>
      </c>
      <c r="E74" s="300"/>
      <c r="F74" s="301">
        <f t="shared" si="5"/>
        <v>400</v>
      </c>
      <c r="G74" s="300"/>
      <c r="H74" s="300"/>
      <c r="I74" s="302">
        <v>0.2</v>
      </c>
      <c r="J74" s="300" t="s">
        <v>129</v>
      </c>
      <c r="K74" s="302">
        <v>0.25</v>
      </c>
      <c r="L74" s="1"/>
      <c r="M74" s="301">
        <f>F74*I74</f>
        <v>80</v>
      </c>
      <c r="N74" s="300" t="s">
        <v>130</v>
      </c>
      <c r="O74" s="303">
        <f>F74*K74</f>
        <v>100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63" ht="15.75" customHeight="1">
      <c r="A75" s="653" t="s">
        <v>187</v>
      </c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63" ht="15.75" customHeight="1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63" ht="15.75" customHeight="1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63" ht="15.75" customHeight="1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63" ht="15.75" customHeight="1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63" ht="15.75" customHeight="1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4:45" ht="15.75" customHeight="1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4:45" ht="15.75" customHeight="1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4:45" ht="15.75" customHeight="1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4:45" ht="15.75" customHeight="1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4:45" ht="15.75" customHeight="1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4:45" ht="15.75" customHeight="1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4:45" ht="15.75" customHeight="1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4:45" ht="15.75" customHeight="1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4:45" ht="15.75" customHeight="1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4:45" ht="15.75" customHeight="1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4:45" ht="15.75" customHeight="1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4:45" ht="15.75" customHeight="1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4:45" ht="15.75" customHeight="1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4:45" ht="15.75" customHeight="1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4:45" ht="15.75" customHeight="1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4:45" ht="15.75" customHeight="1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4:45" ht="15.75" customHeight="1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4:45" ht="15.75" customHeight="1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4:45" ht="15.75" customHeight="1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4:45" ht="15.75" customHeight="1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4:45" ht="15.75" customHeight="1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4:45" ht="15.75" customHeight="1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4:45" ht="15.75" customHeight="1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4:45" ht="15.75" customHeight="1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4:45" ht="15.75" customHeight="1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4:45" ht="15.75" customHeight="1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4:45" ht="15.75" customHeight="1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4:45" ht="15.75" customHeight="1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4:45" ht="15.75" customHeight="1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4:45" ht="15.75" customHeight="1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4:45" ht="15.75" customHeight="1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4:45" ht="15.75" customHeight="1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5.75" customHeight="1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5.75" customHeight="1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5.75" customHeight="1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5.75" customHeight="1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5.75" customHeight="1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5.75" customHeight="1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5.75" customHeight="1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45" ht="15.75" customHeight="1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45" ht="15.75" customHeight="1">
      <c r="A121"/>
      <c r="B121"/>
      <c r="C121"/>
    </row>
    <row r="122" spans="1:45" ht="15.75" customHeight="1">
      <c r="A122"/>
      <c r="B122"/>
      <c r="C122"/>
    </row>
    <row r="123" spans="1:45" ht="15.75" customHeight="1">
      <c r="A123"/>
      <c r="B123"/>
      <c r="C123"/>
    </row>
    <row r="124" spans="1:45" ht="15.75" customHeight="1">
      <c r="A124"/>
      <c r="B124"/>
      <c r="C124"/>
    </row>
    <row r="125" spans="1:45" ht="15.75" customHeight="1">
      <c r="A125"/>
      <c r="B125"/>
      <c r="C125"/>
    </row>
    <row r="126" spans="1:45" ht="15.75" customHeight="1">
      <c r="A126"/>
      <c r="B126"/>
      <c r="C126"/>
    </row>
    <row r="127" spans="1:45" ht="15.75" customHeight="1">
      <c r="A127"/>
      <c r="B127"/>
      <c r="C127"/>
    </row>
    <row r="128" spans="1:45" ht="15.75" customHeight="1">
      <c r="A128"/>
      <c r="B128"/>
      <c r="C128"/>
    </row>
    <row r="129" spans="1:3" ht="15.75" customHeight="1">
      <c r="A129"/>
      <c r="B129"/>
      <c r="C129"/>
    </row>
    <row r="130" spans="1:3" ht="15.75" customHeight="1">
      <c r="A130"/>
      <c r="B130"/>
      <c r="C130"/>
    </row>
    <row r="131" spans="1:3" ht="15.75" customHeight="1">
      <c r="A131"/>
      <c r="B131"/>
      <c r="C131"/>
    </row>
    <row r="132" spans="1:3" ht="15.75" customHeight="1">
      <c r="A132"/>
      <c r="B132"/>
      <c r="C132"/>
    </row>
    <row r="133" spans="1:3" ht="15.75" customHeight="1">
      <c r="A133"/>
      <c r="B133"/>
      <c r="C133"/>
    </row>
    <row r="134" spans="1:3" ht="15.75" customHeight="1">
      <c r="A134"/>
      <c r="B134"/>
      <c r="C134"/>
    </row>
    <row r="135" spans="1:3" ht="15.75" customHeight="1">
      <c r="A135"/>
      <c r="B135"/>
      <c r="C135"/>
    </row>
    <row r="136" spans="1:3" ht="15.75" customHeight="1">
      <c r="A136"/>
      <c r="B136"/>
      <c r="C136"/>
    </row>
    <row r="137" spans="1:3" ht="15.75" customHeight="1">
      <c r="A137"/>
      <c r="B137"/>
      <c r="C137"/>
    </row>
    <row r="138" spans="1:3" ht="15.75" customHeight="1">
      <c r="A138"/>
      <c r="B138"/>
      <c r="C138"/>
    </row>
    <row r="139" spans="1:3" ht="15.75" customHeight="1">
      <c r="A139"/>
      <c r="B139"/>
      <c r="C139"/>
    </row>
    <row r="140" spans="1:3" ht="15.75" customHeight="1">
      <c r="A140"/>
      <c r="B140"/>
      <c r="C140"/>
    </row>
    <row r="141" spans="1:3" ht="15.75" customHeight="1">
      <c r="A141"/>
      <c r="B141"/>
      <c r="C141"/>
    </row>
    <row r="142" spans="1:3" ht="15.75" customHeight="1">
      <c r="A142"/>
      <c r="B142"/>
      <c r="C142"/>
    </row>
    <row r="143" spans="1:3" ht="15.75" customHeight="1">
      <c r="A143"/>
      <c r="B143"/>
      <c r="C143"/>
    </row>
    <row r="144" spans="1:3" ht="15.75" customHeight="1">
      <c r="A144"/>
      <c r="B144"/>
      <c r="C144"/>
    </row>
    <row r="145" spans="1:3" ht="15.75" customHeight="1">
      <c r="A145"/>
      <c r="B145"/>
      <c r="C145"/>
    </row>
    <row r="146" spans="1:3" ht="15.75" customHeight="1">
      <c r="A146"/>
      <c r="B146"/>
      <c r="C146"/>
    </row>
    <row r="147" spans="1:3" ht="15.75" customHeight="1">
      <c r="A147"/>
      <c r="B147"/>
      <c r="C147"/>
    </row>
    <row r="148" spans="1:3" ht="15.75" customHeight="1">
      <c r="A148"/>
      <c r="B148"/>
      <c r="C148"/>
    </row>
    <row r="149" spans="1:3" ht="15.75" customHeight="1">
      <c r="A149"/>
      <c r="B149"/>
      <c r="C149"/>
    </row>
    <row r="150" spans="1:3" ht="15.75" customHeight="1">
      <c r="A150"/>
      <c r="B150"/>
      <c r="C150"/>
    </row>
    <row r="151" spans="1:3" ht="15.75" customHeight="1">
      <c r="A151"/>
      <c r="B151"/>
      <c r="C151"/>
    </row>
    <row r="152" spans="1:3" ht="15.75" customHeight="1">
      <c r="A152"/>
      <c r="B152"/>
      <c r="C152"/>
    </row>
    <row r="153" spans="1:3" ht="15.75" customHeight="1">
      <c r="A153"/>
      <c r="B153"/>
      <c r="C153"/>
    </row>
    <row r="154" spans="1:3" ht="15.75" customHeight="1">
      <c r="A154"/>
      <c r="B154"/>
      <c r="C154"/>
    </row>
    <row r="155" spans="1:3" ht="15.75" customHeight="1">
      <c r="A155"/>
      <c r="B155"/>
      <c r="C155"/>
    </row>
    <row r="156" spans="1:3" ht="15.75" customHeight="1">
      <c r="A156"/>
      <c r="B156"/>
      <c r="C156"/>
    </row>
    <row r="157" spans="1:3" ht="15.75" customHeight="1">
      <c r="A157"/>
      <c r="B157"/>
      <c r="C157"/>
    </row>
    <row r="158" spans="1:3" ht="15.75" customHeight="1">
      <c r="A158"/>
      <c r="B158"/>
      <c r="C158"/>
    </row>
    <row r="159" spans="1:3" ht="15.75" customHeight="1">
      <c r="A159"/>
      <c r="B159"/>
      <c r="C159"/>
    </row>
    <row r="160" spans="1:3" ht="15.75" customHeight="1">
      <c r="A160"/>
      <c r="B160"/>
      <c r="C160"/>
    </row>
    <row r="161" spans="1:3" ht="15.75" customHeight="1">
      <c r="A161"/>
      <c r="B161"/>
      <c r="C161"/>
    </row>
    <row r="162" spans="1:3" ht="15.75" customHeight="1">
      <c r="A162"/>
      <c r="B162"/>
      <c r="C162"/>
    </row>
    <row r="163" spans="1:3" ht="15.75" customHeight="1">
      <c r="A163"/>
      <c r="B163"/>
      <c r="C163"/>
    </row>
    <row r="164" spans="1:3" ht="15.75" customHeight="1">
      <c r="A164"/>
      <c r="B164"/>
      <c r="C164"/>
    </row>
    <row r="165" spans="1:3" ht="15.75" customHeight="1">
      <c r="A165"/>
      <c r="B165"/>
      <c r="C165"/>
    </row>
    <row r="166" spans="1:3" ht="15.75" customHeight="1">
      <c r="A166"/>
      <c r="B166"/>
      <c r="C166"/>
    </row>
    <row r="167" spans="1:3" ht="15.75" customHeight="1">
      <c r="A167"/>
      <c r="B167"/>
      <c r="C167"/>
    </row>
    <row r="168" spans="1:3" ht="15.75" customHeight="1">
      <c r="A168"/>
      <c r="B168"/>
      <c r="C168"/>
    </row>
    <row r="169" spans="1:3" ht="15.75" customHeight="1">
      <c r="A169"/>
      <c r="B169"/>
      <c r="C169"/>
    </row>
    <row r="170" spans="1:3" ht="15.75" customHeight="1">
      <c r="A170"/>
      <c r="B170"/>
      <c r="C170"/>
    </row>
    <row r="171" spans="1:3" ht="15.75" customHeight="1">
      <c r="A171"/>
      <c r="B171"/>
      <c r="C171"/>
    </row>
    <row r="172" spans="1:3" ht="15.75" customHeight="1">
      <c r="A172"/>
      <c r="B172"/>
      <c r="C172"/>
    </row>
    <row r="173" spans="1:3" ht="15.75" customHeight="1">
      <c r="A173"/>
      <c r="B173"/>
      <c r="C173"/>
    </row>
    <row r="174" spans="1:3" ht="15.75" customHeight="1">
      <c r="A174"/>
      <c r="B174"/>
      <c r="C174"/>
    </row>
    <row r="175" spans="1:3" ht="15.75" customHeight="1">
      <c r="A175"/>
      <c r="B175"/>
      <c r="C175"/>
    </row>
    <row r="176" spans="1:3" ht="15.75" customHeight="1">
      <c r="A176"/>
      <c r="B176"/>
      <c r="C176"/>
    </row>
    <row r="177" spans="1:3" ht="15.75" customHeight="1">
      <c r="A177"/>
      <c r="B177"/>
      <c r="C177"/>
    </row>
    <row r="178" spans="1:3" ht="15.75" customHeight="1">
      <c r="A178"/>
      <c r="B178"/>
      <c r="C178"/>
    </row>
    <row r="179" spans="1:3" ht="15.75" customHeight="1">
      <c r="A179"/>
      <c r="B179"/>
      <c r="C179"/>
    </row>
    <row r="180" spans="1:3" ht="15.75" customHeight="1">
      <c r="A180"/>
      <c r="B180"/>
      <c r="C180"/>
    </row>
    <row r="181" spans="1:3" ht="15.75" customHeight="1">
      <c r="A181"/>
      <c r="B181"/>
      <c r="C181"/>
    </row>
    <row r="182" spans="1:3" ht="15.75" customHeight="1">
      <c r="A182"/>
      <c r="B182"/>
      <c r="C182"/>
    </row>
    <row r="183" spans="1:3" ht="15.75" customHeight="1">
      <c r="A183"/>
      <c r="B183"/>
      <c r="C183"/>
    </row>
    <row r="184" spans="1:3" ht="15.75" customHeight="1">
      <c r="A184"/>
      <c r="B184"/>
      <c r="C184"/>
    </row>
    <row r="185" spans="1:3" ht="15.75" customHeight="1">
      <c r="A185"/>
      <c r="B185"/>
      <c r="C185"/>
    </row>
    <row r="186" spans="1:3" ht="15.75" customHeight="1">
      <c r="A186"/>
      <c r="B186"/>
      <c r="C186"/>
    </row>
    <row r="187" spans="1:3" ht="15.75" customHeight="1">
      <c r="A187"/>
      <c r="B187"/>
      <c r="C187"/>
    </row>
    <row r="188" spans="1:3" ht="15.75" customHeight="1">
      <c r="A188"/>
      <c r="B188"/>
      <c r="C188"/>
    </row>
    <row r="189" spans="1:3" ht="15.75" customHeight="1">
      <c r="A189"/>
      <c r="B189"/>
      <c r="C189"/>
    </row>
    <row r="190" spans="1:3" ht="15.75" customHeight="1">
      <c r="A190"/>
      <c r="B190"/>
      <c r="C190"/>
    </row>
    <row r="191" spans="1:3" ht="15.75" customHeight="1">
      <c r="A191"/>
      <c r="B191"/>
      <c r="C191"/>
    </row>
    <row r="192" spans="1:3" ht="15.75" customHeight="1">
      <c r="A192"/>
      <c r="B192"/>
      <c r="C192"/>
    </row>
    <row r="193" spans="1:3" ht="15.75" customHeight="1">
      <c r="A193"/>
      <c r="B193"/>
      <c r="C193"/>
    </row>
    <row r="194" spans="1:3" ht="15.75" customHeight="1">
      <c r="A194"/>
      <c r="B194"/>
      <c r="C194"/>
    </row>
    <row r="195" spans="1:3" ht="15.75" customHeight="1">
      <c r="A195"/>
      <c r="B195"/>
      <c r="C195"/>
    </row>
    <row r="196" spans="1:3" ht="15.75" customHeight="1">
      <c r="A196"/>
      <c r="B196"/>
      <c r="C196"/>
    </row>
    <row r="197" spans="1:3" ht="15.75" customHeight="1">
      <c r="A197"/>
      <c r="B197"/>
      <c r="C197"/>
    </row>
    <row r="198" spans="1:3" ht="15.75" customHeight="1">
      <c r="A198"/>
      <c r="B198"/>
      <c r="C198"/>
    </row>
    <row r="199" spans="1:3" ht="15.75" customHeight="1">
      <c r="A199"/>
      <c r="B199"/>
      <c r="C199"/>
    </row>
    <row r="200" spans="1:3" ht="15.75" customHeight="1">
      <c r="A200"/>
      <c r="B200"/>
      <c r="C200"/>
    </row>
    <row r="201" spans="1:3" ht="15.75" customHeight="1">
      <c r="A201"/>
      <c r="B201"/>
      <c r="C201"/>
    </row>
    <row r="202" spans="1:3" ht="15.75" customHeight="1">
      <c r="A202"/>
      <c r="B202"/>
      <c r="C202"/>
    </row>
    <row r="203" spans="1:3" ht="15.75" customHeight="1">
      <c r="A203"/>
      <c r="B203"/>
      <c r="C203"/>
    </row>
    <row r="204" spans="1:3" ht="15.75" customHeight="1">
      <c r="A204"/>
      <c r="B204"/>
      <c r="C204"/>
    </row>
  </sheetData>
  <mergeCells count="106">
    <mergeCell ref="J62:J63"/>
    <mergeCell ref="B57:C57"/>
    <mergeCell ref="B58:C58"/>
    <mergeCell ref="A59:D59"/>
    <mergeCell ref="H61:I61"/>
    <mergeCell ref="A62:D63"/>
    <mergeCell ref="E62:E63"/>
    <mergeCell ref="F62:F63"/>
    <mergeCell ref="G62:G63"/>
    <mergeCell ref="H62:I63"/>
    <mergeCell ref="B56:C56"/>
    <mergeCell ref="H50:H52"/>
    <mergeCell ref="I50:I52"/>
    <mergeCell ref="J50:J52"/>
    <mergeCell ref="K50:K52"/>
    <mergeCell ref="B53:C53"/>
    <mergeCell ref="I53:P53"/>
    <mergeCell ref="B55:C55"/>
    <mergeCell ref="L50:L52"/>
    <mergeCell ref="M50:M52"/>
    <mergeCell ref="N50:N52"/>
    <mergeCell ref="O50:O52"/>
    <mergeCell ref="P50:P52"/>
    <mergeCell ref="B54:C54"/>
    <mergeCell ref="A38:D39"/>
    <mergeCell ref="E38:E39"/>
    <mergeCell ref="F38:G39"/>
    <mergeCell ref="H38:H39"/>
    <mergeCell ref="I38:J39"/>
    <mergeCell ref="K38:L39"/>
    <mergeCell ref="M38:O39"/>
    <mergeCell ref="A40:O41"/>
    <mergeCell ref="A50:C51"/>
    <mergeCell ref="D50:D51"/>
    <mergeCell ref="E50:E51"/>
    <mergeCell ref="F50:F51"/>
    <mergeCell ref="G50:G51"/>
    <mergeCell ref="A35:D35"/>
    <mergeCell ref="F35:F36"/>
    <mergeCell ref="G35:H35"/>
    <mergeCell ref="I35:O36"/>
    <mergeCell ref="A36:D36"/>
    <mergeCell ref="G36:H36"/>
    <mergeCell ref="A37:C37"/>
    <mergeCell ref="F37:G37"/>
    <mergeCell ref="I37:J37"/>
    <mergeCell ref="K37:L37"/>
    <mergeCell ref="M37:O37"/>
    <mergeCell ref="F27:F29"/>
    <mergeCell ref="G27:G29"/>
    <mergeCell ref="H27:H29"/>
    <mergeCell ref="I27:I29"/>
    <mergeCell ref="J27:J29"/>
    <mergeCell ref="K27:K29"/>
    <mergeCell ref="B32:C32"/>
    <mergeCell ref="N32:O32"/>
    <mergeCell ref="B33:C33"/>
    <mergeCell ref="N33:O33"/>
    <mergeCell ref="O61:P61"/>
    <mergeCell ref="L27:L29"/>
    <mergeCell ref="M27:M29"/>
    <mergeCell ref="N27:O29"/>
    <mergeCell ref="B34:C34"/>
    <mergeCell ref="N34:O34"/>
    <mergeCell ref="C1:R1"/>
    <mergeCell ref="D3:Q3"/>
    <mergeCell ref="M4:O4"/>
    <mergeCell ref="D12:H13"/>
    <mergeCell ref="I12:I13"/>
    <mergeCell ref="Q12:R13"/>
    <mergeCell ref="C15:R15"/>
    <mergeCell ref="C18:R18"/>
    <mergeCell ref="A19:S19"/>
    <mergeCell ref="A26:D26"/>
    <mergeCell ref="B30:C30"/>
    <mergeCell ref="N30:O30"/>
    <mergeCell ref="B31:C31"/>
    <mergeCell ref="N31:O31"/>
    <mergeCell ref="B29:C29"/>
    <mergeCell ref="A27:C28"/>
    <mergeCell ref="D27:D28"/>
    <mergeCell ref="E27:E28"/>
    <mergeCell ref="A73:C73"/>
    <mergeCell ref="A74:C74"/>
    <mergeCell ref="A75:O75"/>
    <mergeCell ref="E26:H26"/>
    <mergeCell ref="J4:J6"/>
    <mergeCell ref="A44:P47"/>
    <mergeCell ref="A70:C70"/>
    <mergeCell ref="E70:G70"/>
    <mergeCell ref="M70:O70"/>
    <mergeCell ref="A71:C71"/>
    <mergeCell ref="A72:C72"/>
    <mergeCell ref="K62:L63"/>
    <mergeCell ref="M62:N63"/>
    <mergeCell ref="O62:P63"/>
    <mergeCell ref="A64:P65"/>
    <mergeCell ref="A69:O69"/>
    <mergeCell ref="H59:I59"/>
    <mergeCell ref="J59:P60"/>
    <mergeCell ref="A60:D60"/>
    <mergeCell ref="H60:I60"/>
    <mergeCell ref="A61:C61"/>
    <mergeCell ref="E61:G61"/>
    <mergeCell ref="K61:L61"/>
    <mergeCell ref="M61:N6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'.'!$BT$3:$BT$10</xm:f>
          </x14:formula1>
          <xm:sqref>I6</xm:sqref>
        </x14:dataValidation>
        <x14:dataValidation type="list" allowBlank="1" showInputMessage="1" showErrorMessage="1">
          <x14:formula1>
            <xm:f>'.'!$BM$3:$BM$8</xm:f>
          </x14:formula1>
          <xm:sqref>P4</xm:sqref>
        </x14:dataValidation>
        <x14:dataValidation type="list" allowBlank="1" showInputMessage="1" showErrorMessage="1">
          <x14:formula1>
            <xm:f>'.'!$BK$3:$BK$18</xm:f>
          </x14:formula1>
          <xm:sqref>I4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H1:CA102"/>
  <sheetViews>
    <sheetView zoomScale="90" zoomScaleNormal="90" workbookViewId="0">
      <selection activeCell="A20" sqref="A20"/>
    </sheetView>
  </sheetViews>
  <sheetFormatPr defaultRowHeight="14.25"/>
  <cols>
    <col min="34" max="34" width="8.75" bestFit="1" customWidth="1"/>
    <col min="35" max="35" width="7.25" bestFit="1" customWidth="1"/>
    <col min="36" max="36" width="9.75" bestFit="1" customWidth="1"/>
    <col min="37" max="37" width="14.75" bestFit="1" customWidth="1"/>
    <col min="38" max="38" width="7.75" bestFit="1" customWidth="1"/>
    <col min="39" max="39" width="8.75" bestFit="1" customWidth="1"/>
    <col min="40" max="40" width="9.25" bestFit="1" customWidth="1"/>
    <col min="41" max="41" width="11" bestFit="1" customWidth="1"/>
    <col min="42" max="42" width="8.75" bestFit="1" customWidth="1"/>
    <col min="43" max="43" width="9.75" bestFit="1" customWidth="1"/>
    <col min="44" max="44" width="9.875" bestFit="1" customWidth="1"/>
    <col min="45" max="45" width="9.125" customWidth="1"/>
    <col min="46" max="47" width="8.75" bestFit="1" customWidth="1"/>
    <col min="55" max="55" width="14.875" bestFit="1" customWidth="1"/>
    <col min="56" max="56" width="5.875" bestFit="1" customWidth="1"/>
    <col min="57" max="57" width="7.375" customWidth="1"/>
    <col min="58" max="58" width="7.125" customWidth="1"/>
    <col min="59" max="59" width="11.875" customWidth="1"/>
    <col min="60" max="60" width="26.625" bestFit="1" customWidth="1"/>
    <col min="61" max="61" width="10.625" bestFit="1" customWidth="1"/>
    <col min="62" max="62" width="20.125" customWidth="1"/>
    <col min="63" max="63" width="11" customWidth="1"/>
    <col min="64" max="64" width="6.875" bestFit="1" customWidth="1"/>
    <col min="65" max="65" width="8.75" bestFit="1" customWidth="1"/>
    <col min="66" max="66" width="12" bestFit="1" customWidth="1"/>
    <col min="67" max="67" width="10.875" bestFit="1" customWidth="1"/>
    <col min="68" max="68" width="7.625" customWidth="1"/>
    <col min="69" max="69" width="9.375" bestFit="1" customWidth="1"/>
    <col min="70" max="70" width="18.875" bestFit="1" customWidth="1"/>
    <col min="71" max="71" width="15.125" bestFit="1" customWidth="1"/>
    <col min="72" max="72" width="9.375" bestFit="1" customWidth="1"/>
    <col min="73" max="73" width="8.875" customWidth="1"/>
    <col min="74" max="74" width="14.625" bestFit="1" customWidth="1"/>
    <col min="75" max="75" width="15.125" bestFit="1" customWidth="1"/>
    <col min="76" max="76" width="8.75" customWidth="1"/>
    <col min="77" max="77" width="7.75" customWidth="1"/>
    <col min="78" max="78" width="24.375" bestFit="1" customWidth="1"/>
    <col min="79" max="79" width="12.75" bestFit="1" customWidth="1"/>
  </cols>
  <sheetData>
    <row r="1" spans="34:79" ht="15" thickBot="1"/>
    <row r="2" spans="34:79" ht="40.5" customHeight="1" thickTop="1" thickBot="1">
      <c r="BC2" s="71" t="s">
        <v>188</v>
      </c>
      <c r="BD2" s="71" t="s">
        <v>189</v>
      </c>
      <c r="BE2" s="71" t="s">
        <v>190</v>
      </c>
      <c r="BF2" s="71" t="s">
        <v>191</v>
      </c>
      <c r="BG2" s="71" t="s">
        <v>192</v>
      </c>
      <c r="BH2" s="71" t="s">
        <v>193</v>
      </c>
      <c r="BI2" s="78" t="s">
        <v>194</v>
      </c>
      <c r="BJ2" s="92" t="s">
        <v>195</v>
      </c>
      <c r="BK2" s="74" t="s">
        <v>196</v>
      </c>
      <c r="BL2" s="74" t="s">
        <v>197</v>
      </c>
      <c r="BM2" s="74" t="s">
        <v>198</v>
      </c>
      <c r="BN2" s="74" t="s">
        <v>199</v>
      </c>
      <c r="BO2" s="74" t="s">
        <v>200</v>
      </c>
      <c r="BQ2" s="133" t="s">
        <v>189</v>
      </c>
      <c r="BR2" s="131" t="s">
        <v>201</v>
      </c>
      <c r="BS2" t="s">
        <v>202</v>
      </c>
      <c r="BT2" t="s">
        <v>203</v>
      </c>
      <c r="BU2" t="s">
        <v>204</v>
      </c>
      <c r="BV2" t="s">
        <v>89</v>
      </c>
      <c r="BZ2" s="79" t="s">
        <v>205</v>
      </c>
      <c r="CA2" s="80">
        <f>IF(AND(Rebet.24!$I$5&gt;='.'!BO41,Rebet.24!$I$5&lt;='.'!BP41),$BQ41,IF(AND(Rebet.24!$I$5&gt;='.'!BO42,Rebet.24!$I$5&lt;='.'!BP42),$BQ42,IF(AND(Rebet.24!$I$5&gt;='.'!BO43,Rebet.24!$I$5&lt;='.'!BP43),$BQ43,IF(AND(Rebet.24!$I$5&gt;='.'!BO44,Rebet.24!$I$5&lt;='.'!BP44),$BQ44,IF(AND(Rebet.24!$I$5&gt;='.'!BO45,Rebet.24!$I$5&lt;='.'!BP45),$BQ45,IF(AND(Rebet.24!$I$5&gt;='.'!BO46,Rebet.24!$I$5&lt;='.'!BP46),$BQ46))))))</f>
        <v>0</v>
      </c>
    </row>
    <row r="3" spans="34:79" ht="16.5" thickTop="1" thickBot="1"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700" t="s">
        <v>206</v>
      </c>
      <c r="AT3" s="1"/>
      <c r="AU3" s="1"/>
      <c r="BC3" s="98" t="str">
        <f t="shared" ref="BC3:BC50" si="0">CONCATENATE(BD3,BG3)</f>
        <v>05</v>
      </c>
      <c r="BD3" s="78">
        <v>0</v>
      </c>
      <c r="BE3" s="72">
        <v>2.5</v>
      </c>
      <c r="BF3" s="72">
        <v>3</v>
      </c>
      <c r="BG3" s="73">
        <v>5</v>
      </c>
      <c r="BH3" s="86">
        <f>BL10</f>
        <v>50</v>
      </c>
      <c r="BI3" s="96">
        <v>0.86</v>
      </c>
      <c r="BJ3" s="91" t="s">
        <v>207</v>
      </c>
      <c r="BK3" s="75">
        <v>1</v>
      </c>
      <c r="BL3" s="83">
        <v>1</v>
      </c>
      <c r="BM3" s="75" t="s">
        <v>136</v>
      </c>
      <c r="BN3" s="76">
        <v>4.4999999999999998E-2</v>
      </c>
      <c r="BO3" s="76">
        <v>0.3</v>
      </c>
      <c r="BQ3">
        <f t="shared" ref="BQ3:BQ10" si="1">BS3</f>
        <v>0</v>
      </c>
      <c r="BR3" s="132" t="str">
        <f>IF(AND('.'!AU5&lt;=$BO$3,'.'!AU5&gt;0),'.'!AH5,"")</f>
        <v/>
      </c>
      <c r="BS3">
        <f>IF(BR3="",0,1)</f>
        <v>0</v>
      </c>
      <c r="BT3">
        <f>IFERROR(IF(BS3&lt;&gt;0,BR3,IF(BS4&lt;&gt;0,BR4,IF(BS5&lt;&gt;0,BR5,IF(BS6&lt;&gt;0,BR6,IF(BS7&lt;&gt;0,BR7,IF(BS8&lt;&gt;0,BR8,IF(BS9&lt;&gt;0,BR9,IF(BS10&lt;&gt;0,BR10,"")))))))),"")</f>
        <v>25</v>
      </c>
      <c r="BU3">
        <f>IFERROR(VLOOKUP(BT3,$BR$3:$BS$10,2,FALSE),0)</f>
        <v>1</v>
      </c>
      <c r="BV3" s="134">
        <f>IFERROR(VLOOKUP(BT3,'.'!$AH$3:$AU$12,14,FALSE),"")</f>
        <v>0.25886363636363624</v>
      </c>
      <c r="BZ3" s="79" t="s">
        <v>208</v>
      </c>
      <c r="CA3" s="84">
        <f>Rebet.24!I4</f>
        <v>2</v>
      </c>
    </row>
    <row r="4" spans="34:79" ht="16.5" thickTop="1" thickBot="1">
      <c r="AH4" s="127" t="s">
        <v>209</v>
      </c>
      <c r="AI4" s="127" t="s">
        <v>210</v>
      </c>
      <c r="AJ4" s="127" t="s">
        <v>211</v>
      </c>
      <c r="AK4" s="127" t="s">
        <v>212</v>
      </c>
      <c r="AL4" s="127" t="s">
        <v>213</v>
      </c>
      <c r="AM4" s="127" t="s">
        <v>214</v>
      </c>
      <c r="AN4" s="127" t="s">
        <v>215</v>
      </c>
      <c r="AO4" s="127" t="s">
        <v>216</v>
      </c>
      <c r="AP4" s="127" t="s">
        <v>217</v>
      </c>
      <c r="AQ4" s="127" t="s">
        <v>211</v>
      </c>
      <c r="AR4" s="128" t="s">
        <v>218</v>
      </c>
      <c r="AS4" s="700"/>
      <c r="AT4" s="129" t="s">
        <v>219</v>
      </c>
      <c r="AU4" s="127" t="s">
        <v>89</v>
      </c>
      <c r="BC4" s="98" t="str">
        <f t="shared" si="0"/>
        <v>010</v>
      </c>
      <c r="BD4" s="78">
        <v>0</v>
      </c>
      <c r="BE4" s="72">
        <v>2.5</v>
      </c>
      <c r="BF4" s="72">
        <v>3</v>
      </c>
      <c r="BG4" s="73">
        <v>10</v>
      </c>
      <c r="BH4" s="86">
        <f>BH3</f>
        <v>50</v>
      </c>
      <c r="BI4" s="96">
        <v>0.86</v>
      </c>
      <c r="BJ4" s="91" t="s">
        <v>207</v>
      </c>
      <c r="BK4" s="75" t="s">
        <v>220</v>
      </c>
      <c r="BL4" s="83">
        <v>1</v>
      </c>
      <c r="BM4" s="75" t="s">
        <v>221</v>
      </c>
      <c r="BN4" s="76">
        <v>0.05</v>
      </c>
      <c r="BQ4">
        <f t="shared" si="1"/>
        <v>0</v>
      </c>
      <c r="BR4" s="132" t="str">
        <f>IF(AND('.'!AU6&lt;=$BO$3,'.'!AU6&gt;0),'.'!AH6,"")</f>
        <v/>
      </c>
      <c r="BS4">
        <f t="shared" ref="BS4:BS10" si="2">IF(BR4="",0,1+BS3)</f>
        <v>0</v>
      </c>
      <c r="BT4">
        <f>IFERROR(IF(BU3&lt;&gt;0,VLOOKUP(BU3+1,BQ4:BR10,2,FALSE),IF(BS4&lt;&gt;0,BR4,IF(BS5&lt;&gt;0,BR5,IF(BS6&lt;&gt;0,BR6,IF(BS7&lt;&gt;0,BR7,IF(BS8&lt;&gt;0,BR8,IF(BS9&lt;&gt;0,BR9,IF(BS10&lt;&gt;0,BR10,"")))))))),"")</f>
        <v>30</v>
      </c>
      <c r="BU4">
        <f t="shared" ref="BU4:BU10" si="3">IFERROR(VLOOKUP(BT4,$BR$3:$BS$10,2,FALSE),0)</f>
        <v>2</v>
      </c>
      <c r="BV4" s="134">
        <f>IFERROR(VLOOKUP(BT4,'.'!$AH$3:$AU$12,14,FALSE),"")</f>
        <v>0.15757575757575756</v>
      </c>
      <c r="BZ4" s="79" t="s">
        <v>222</v>
      </c>
      <c r="CA4" s="81">
        <f>Rebet.24!I6</f>
        <v>35</v>
      </c>
    </row>
    <row r="5" spans="34:79" ht="16.5" thickTop="1" thickBot="1">
      <c r="AH5" s="124">
        <v>5</v>
      </c>
      <c r="AI5" s="126">
        <f>Rebet.24!$I$5</f>
        <v>2.5</v>
      </c>
      <c r="AJ5" s="125">
        <f t="shared" ref="AJ5:AJ12" si="4">AH5*(AI5-1)</f>
        <v>7.5</v>
      </c>
      <c r="AK5" s="124">
        <f t="shared" ref="AK5:AK12" si="5">(AH5*AI5)+AM5</f>
        <v>62.5</v>
      </c>
      <c r="AL5" s="126">
        <f>Rebet.24!$P$5</f>
        <v>3.2</v>
      </c>
      <c r="AM5" s="124">
        <f>Rebet.24!$P$9</f>
        <v>50</v>
      </c>
      <c r="AN5" s="130">
        <f>Rebet.24!$I$11</f>
        <v>0.7</v>
      </c>
      <c r="AO5" s="124">
        <f t="shared" ref="AO5:AO12" si="6">AM5*(1-AN5)</f>
        <v>15.000000000000002</v>
      </c>
      <c r="AP5" s="125">
        <f t="shared" ref="AP5:AP12" si="7">AH5*(((AK5-AO5)/AH5)-1)/(AL5-1)</f>
        <v>19.318181818181817</v>
      </c>
      <c r="AQ5" s="125">
        <f>AP5-(AP5*Rebet.24!$I$10)</f>
        <v>18.448863636363633</v>
      </c>
      <c r="AR5" s="125">
        <f t="shared" ref="AR5:AR12" si="8">AP5*(AL5-1)</f>
        <v>42.5</v>
      </c>
      <c r="AS5" s="125">
        <f t="shared" ref="AS5:AS12" si="9">AJ5-AR5</f>
        <v>-35</v>
      </c>
      <c r="AT5" s="125">
        <f t="shared" ref="AT5:AT12" si="10">AQ5-AH5</f>
        <v>13.448863636363633</v>
      </c>
      <c r="AU5" s="130">
        <f t="shared" ref="AU5:AU12" si="11">AT5/AH5</f>
        <v>2.6897727272727265</v>
      </c>
      <c r="BC5" s="98" t="str">
        <f t="shared" si="0"/>
        <v>015</v>
      </c>
      <c r="BD5" s="78">
        <v>0</v>
      </c>
      <c r="BE5" s="72">
        <v>2.5</v>
      </c>
      <c r="BF5" s="72">
        <v>3</v>
      </c>
      <c r="BG5" s="73">
        <v>15</v>
      </c>
      <c r="BH5" s="86">
        <f t="shared" ref="BH5:BH49" si="12">BH4</f>
        <v>50</v>
      </c>
      <c r="BI5" s="96">
        <v>0.86</v>
      </c>
      <c r="BJ5" s="91" t="s">
        <v>207</v>
      </c>
      <c r="BK5" s="75">
        <v>2</v>
      </c>
      <c r="BL5" s="83">
        <v>1</v>
      </c>
      <c r="BM5" s="75"/>
      <c r="BQ5">
        <f t="shared" si="1"/>
        <v>0</v>
      </c>
      <c r="BR5" s="132" t="str">
        <f>IF(AND('.'!AU7&lt;=$BO$3,'.'!AU7&gt;0),'.'!AH7,"")</f>
        <v/>
      </c>
      <c r="BS5">
        <f t="shared" si="2"/>
        <v>0</v>
      </c>
      <c r="BT5">
        <f>IF(OR(BQ11&lt;=BU4,BT4=""),"",IF(BU4&lt;&gt;0,VLOOKUP(BU4+1,BQ5:BR11,2,FALSE),IF(BS5&lt;&gt;0,BR5,IF(BS6&lt;&gt;0,BR6,IF(BS7&lt;&gt;0,BR7,IF(BS8&lt;&gt;0,BR8,IF(BS9&lt;&gt;0,BR9,IF(BS10&lt;&gt;0,BR10,""))))))))</f>
        <v>35</v>
      </c>
      <c r="BU5">
        <f t="shared" si="3"/>
        <v>3</v>
      </c>
      <c r="BV5" s="134">
        <f>IFERROR(VLOOKUP(BT5,'.'!$AH$3:$AU$12,14,FALSE),"")</f>
        <v>8.5227272727272554E-2</v>
      </c>
      <c r="BZ5" s="79" t="s">
        <v>223</v>
      </c>
      <c r="CA5" s="82">
        <f>Rebet.24!$I$5</f>
        <v>2.5</v>
      </c>
    </row>
    <row r="6" spans="34:79" ht="16.5" thickTop="1" thickBot="1">
      <c r="AH6" s="124">
        <v>10</v>
      </c>
      <c r="AI6" s="126">
        <f>Rebet.24!$I$5</f>
        <v>2.5</v>
      </c>
      <c r="AJ6" s="125">
        <f t="shared" si="4"/>
        <v>15</v>
      </c>
      <c r="AK6" s="124">
        <f t="shared" si="5"/>
        <v>75</v>
      </c>
      <c r="AL6" s="126">
        <f>Rebet.24!$P$5</f>
        <v>3.2</v>
      </c>
      <c r="AM6" s="124">
        <f>Rebet.24!$P$9</f>
        <v>50</v>
      </c>
      <c r="AN6" s="130">
        <f>Rebet.24!$I$11</f>
        <v>0.7</v>
      </c>
      <c r="AO6" s="124">
        <f t="shared" si="6"/>
        <v>15.000000000000002</v>
      </c>
      <c r="AP6" s="125">
        <f t="shared" si="7"/>
        <v>22.727272727272727</v>
      </c>
      <c r="AQ6" s="125">
        <f>AP6-(AP6*Rebet.24!$I$10)</f>
        <v>21.704545454545453</v>
      </c>
      <c r="AR6" s="125">
        <f t="shared" si="8"/>
        <v>50</v>
      </c>
      <c r="AS6" s="125">
        <f t="shared" si="9"/>
        <v>-35</v>
      </c>
      <c r="AT6" s="125">
        <f t="shared" si="10"/>
        <v>11.704545454545453</v>
      </c>
      <c r="AU6" s="130">
        <f t="shared" si="11"/>
        <v>1.1704545454545454</v>
      </c>
      <c r="BC6" s="98" t="str">
        <f t="shared" si="0"/>
        <v>020</v>
      </c>
      <c r="BD6" s="78">
        <v>0</v>
      </c>
      <c r="BE6" s="72">
        <v>2.5</v>
      </c>
      <c r="BF6" s="72">
        <v>3</v>
      </c>
      <c r="BG6" s="73">
        <v>20</v>
      </c>
      <c r="BH6" s="86">
        <f t="shared" si="12"/>
        <v>50</v>
      </c>
      <c r="BI6" s="96">
        <v>0.86</v>
      </c>
      <c r="BJ6" s="91" t="s">
        <v>207</v>
      </c>
      <c r="BK6" s="75" t="s">
        <v>224</v>
      </c>
      <c r="BL6" s="83">
        <v>2</v>
      </c>
      <c r="BM6" s="75"/>
      <c r="BQ6">
        <f t="shared" si="1"/>
        <v>0</v>
      </c>
      <c r="BR6" s="132" t="str">
        <f>IF(AND('.'!AU8&lt;=$BO$3,'.'!AU8&gt;0),'.'!AH8,"")</f>
        <v/>
      </c>
      <c r="BS6">
        <f t="shared" si="2"/>
        <v>0</v>
      </c>
      <c r="BT6">
        <f>IF(OR(BQ11&lt;=BU5,BT5=""),"",IF(BU5&lt;&gt;0,VLOOKUP(BU5+1,BQ6:BR12,2,FALSE),IF(BS6&lt;&gt;0,BR6,IF(BS7&lt;&gt;0,BR7,IF(BS8&lt;&gt;0,BR8,IF(BS9&lt;&gt;0,BR9,IF(BS10&lt;&gt;0,BR10,"")))))))</f>
        <v>40</v>
      </c>
      <c r="BU6">
        <f t="shared" si="3"/>
        <v>4</v>
      </c>
      <c r="BV6" s="134">
        <f>IFERROR(VLOOKUP(BT6,'.'!$AH$3:$AU$12,14,FALSE),"")</f>
        <v>3.0965909090908995E-2</v>
      </c>
      <c r="BZ6" s="79" t="s">
        <v>225</v>
      </c>
      <c r="CA6" s="80" t="str">
        <f>CONCATENATE(CA2,CA4)</f>
        <v>035</v>
      </c>
    </row>
    <row r="7" spans="34:79" ht="16.5" thickTop="1" thickBot="1">
      <c r="AH7" s="124">
        <v>15</v>
      </c>
      <c r="AI7" s="126">
        <f>Rebet.24!$I$5</f>
        <v>2.5</v>
      </c>
      <c r="AJ7" s="125">
        <f t="shared" si="4"/>
        <v>22.5</v>
      </c>
      <c r="AK7" s="124">
        <f t="shared" si="5"/>
        <v>87.5</v>
      </c>
      <c r="AL7" s="126">
        <f>Rebet.24!$P$5</f>
        <v>3.2</v>
      </c>
      <c r="AM7" s="124">
        <f>Rebet.24!$P$9</f>
        <v>50</v>
      </c>
      <c r="AN7" s="130">
        <f>Rebet.24!$I$11</f>
        <v>0.7</v>
      </c>
      <c r="AO7" s="124">
        <f t="shared" si="6"/>
        <v>15.000000000000002</v>
      </c>
      <c r="AP7" s="125">
        <f t="shared" si="7"/>
        <v>26.13636363636363</v>
      </c>
      <c r="AQ7" s="125">
        <f>AP7-(AP7*Rebet.24!$I$10)</f>
        <v>24.960227272727266</v>
      </c>
      <c r="AR7" s="125">
        <f t="shared" si="8"/>
        <v>57.499999999999993</v>
      </c>
      <c r="AS7" s="125">
        <f t="shared" si="9"/>
        <v>-34.999999999999993</v>
      </c>
      <c r="AT7" s="125">
        <f t="shared" si="10"/>
        <v>9.9602272727272663</v>
      </c>
      <c r="AU7" s="130">
        <f t="shared" si="11"/>
        <v>0.66401515151515111</v>
      </c>
      <c r="BC7" s="98" t="str">
        <f t="shared" si="0"/>
        <v>025</v>
      </c>
      <c r="BD7" s="78">
        <v>0</v>
      </c>
      <c r="BE7" s="72">
        <v>2.5</v>
      </c>
      <c r="BF7" s="72">
        <v>3</v>
      </c>
      <c r="BG7" s="73">
        <v>25</v>
      </c>
      <c r="BH7" s="86">
        <f t="shared" si="12"/>
        <v>50</v>
      </c>
      <c r="BI7" s="96">
        <v>0.86</v>
      </c>
      <c r="BJ7" s="91" t="s">
        <v>207</v>
      </c>
      <c r="BK7" s="75" t="s">
        <v>226</v>
      </c>
      <c r="BL7" s="83">
        <v>2</v>
      </c>
      <c r="BM7" s="75"/>
      <c r="BQ7">
        <f t="shared" si="1"/>
        <v>1</v>
      </c>
      <c r="BR7" s="132">
        <f>IF(AND('.'!AU9&lt;=$BO$3,'.'!AU9&gt;0),'.'!AH9,"")</f>
        <v>25</v>
      </c>
      <c r="BS7">
        <f t="shared" si="2"/>
        <v>1</v>
      </c>
      <c r="BT7" t="str">
        <f>IF(OR(BQ11&lt;=BU6,BT6=""),"",IF(BU6&lt;&gt;0,VLOOKUP(BU6+1,BQ7:BR13,2,FALSE),IF(BS7&lt;&gt;0,BR7,IF(BS8&lt;&gt;0,BR8,IF(BS9&lt;&gt;0,BR9,IF(BS10&lt;&gt;0,BR10,IF(BS11&lt;&gt;0,BR11,"")))))))</f>
        <v/>
      </c>
      <c r="BU7">
        <f>IFERROR(VLOOKUP(BT7,$BR$3:$BS$10,2,FALSE),0)</f>
        <v>0</v>
      </c>
      <c r="BV7" s="134" t="str">
        <f>IFERROR(VLOOKUP(BT7,'.'!$AH$3:$AU$12,14,FALSE),"")</f>
        <v/>
      </c>
      <c r="BZ7" s="79" t="s">
        <v>193</v>
      </c>
      <c r="CA7" s="81">
        <f>VLOOKUP(CA6,BC2:BH50,6,FALSE)</f>
        <v>50</v>
      </c>
    </row>
    <row r="8" spans="34:79" ht="16.5" thickTop="1" thickBot="1">
      <c r="AH8" s="124">
        <v>20</v>
      </c>
      <c r="AI8" s="126">
        <f>Rebet.24!$I$5</f>
        <v>2.5</v>
      </c>
      <c r="AJ8" s="125">
        <f t="shared" si="4"/>
        <v>30</v>
      </c>
      <c r="AK8" s="124">
        <f t="shared" si="5"/>
        <v>100</v>
      </c>
      <c r="AL8" s="126">
        <f>Rebet.24!$P$5</f>
        <v>3.2</v>
      </c>
      <c r="AM8" s="124">
        <f>Rebet.24!$P$9</f>
        <v>50</v>
      </c>
      <c r="AN8" s="130">
        <f>Rebet.24!$I$11</f>
        <v>0.7</v>
      </c>
      <c r="AO8" s="124">
        <f t="shared" si="6"/>
        <v>15.000000000000002</v>
      </c>
      <c r="AP8" s="125">
        <f t="shared" si="7"/>
        <v>29.545454545454543</v>
      </c>
      <c r="AQ8" s="125">
        <f>AP8-(AP8*Rebet.24!$I$10)</f>
        <v>28.21590909090909</v>
      </c>
      <c r="AR8" s="125">
        <f t="shared" si="8"/>
        <v>65</v>
      </c>
      <c r="AS8" s="125">
        <f t="shared" si="9"/>
        <v>-35</v>
      </c>
      <c r="AT8" s="125">
        <f t="shared" si="10"/>
        <v>8.2159090909090899</v>
      </c>
      <c r="AU8" s="130">
        <f t="shared" si="11"/>
        <v>0.41079545454545452</v>
      </c>
      <c r="BC8" s="98" t="str">
        <f t="shared" si="0"/>
        <v>030</v>
      </c>
      <c r="BD8" s="78">
        <v>0</v>
      </c>
      <c r="BE8" s="72">
        <v>2.5</v>
      </c>
      <c r="BF8" s="72">
        <v>3</v>
      </c>
      <c r="BG8" s="73">
        <v>30</v>
      </c>
      <c r="BH8" s="86">
        <f t="shared" si="12"/>
        <v>50</v>
      </c>
      <c r="BI8" s="96">
        <v>0.86</v>
      </c>
      <c r="BJ8" s="91" t="s">
        <v>207</v>
      </c>
      <c r="BK8" s="75" t="s">
        <v>227</v>
      </c>
      <c r="BL8" s="83">
        <v>2</v>
      </c>
      <c r="BM8" s="75"/>
      <c r="BQ8">
        <f t="shared" si="1"/>
        <v>2</v>
      </c>
      <c r="BR8" s="132">
        <f>IF(AND('.'!AU10&lt;=$BO$3,'.'!AU10&gt;0),'.'!AH10,"")</f>
        <v>30</v>
      </c>
      <c r="BS8">
        <f t="shared" si="2"/>
        <v>2</v>
      </c>
      <c r="BT8" t="str">
        <f>IF(OR(BQ11&lt;=BU7,BT7=""),"",IF(BU7&lt;&gt;0,VLOOKUP(BU7+1,BQ8:BR14,2,FALSE),IF(BS8&lt;&gt;0,BR8,IF(BS9&lt;&gt;0,BR9,IF(BS10&lt;&gt;0,BR10,"")))))</f>
        <v/>
      </c>
      <c r="BU8">
        <f t="shared" si="3"/>
        <v>0</v>
      </c>
      <c r="BV8" s="134" t="str">
        <f>IFERROR(VLOOKUP(BT8,'.'!$AH$3:$AU$12,14,FALSE),"")</f>
        <v/>
      </c>
      <c r="BZ8" s="79" t="s">
        <v>228</v>
      </c>
      <c r="CA8" s="94">
        <f>VLOOKUP(CA6,BC2:BI50,7,FALSE)</f>
        <v>0.86</v>
      </c>
    </row>
    <row r="9" spans="34:79" ht="16.5" thickTop="1" thickBot="1">
      <c r="AH9" s="124">
        <v>25</v>
      </c>
      <c r="AI9" s="126">
        <f>Rebet.24!$I$5</f>
        <v>2.5</v>
      </c>
      <c r="AJ9" s="125">
        <f t="shared" si="4"/>
        <v>37.5</v>
      </c>
      <c r="AK9" s="124">
        <f t="shared" si="5"/>
        <v>112.5</v>
      </c>
      <c r="AL9" s="126">
        <f>Rebet.24!$P$5</f>
        <v>3.2</v>
      </c>
      <c r="AM9" s="124">
        <f>Rebet.24!$P$9</f>
        <v>50</v>
      </c>
      <c r="AN9" s="130">
        <f>Rebet.24!$I$11</f>
        <v>0.7</v>
      </c>
      <c r="AO9" s="124">
        <f t="shared" si="6"/>
        <v>15.000000000000002</v>
      </c>
      <c r="AP9" s="125">
        <f t="shared" si="7"/>
        <v>32.954545454545453</v>
      </c>
      <c r="AQ9" s="125">
        <f>AP9-(AP9*Rebet.24!$I$10)</f>
        <v>31.471590909090907</v>
      </c>
      <c r="AR9" s="125">
        <f t="shared" si="8"/>
        <v>72.5</v>
      </c>
      <c r="AS9" s="125">
        <f t="shared" si="9"/>
        <v>-35</v>
      </c>
      <c r="AT9" s="125">
        <f t="shared" si="10"/>
        <v>6.4715909090909065</v>
      </c>
      <c r="AU9" s="130">
        <f t="shared" si="11"/>
        <v>0.25886363636363624</v>
      </c>
      <c r="BC9" s="98" t="str">
        <f t="shared" si="0"/>
        <v>035</v>
      </c>
      <c r="BD9" s="78">
        <v>0</v>
      </c>
      <c r="BE9" s="72">
        <v>2.5</v>
      </c>
      <c r="BF9" s="72">
        <v>3</v>
      </c>
      <c r="BG9" s="73">
        <v>35</v>
      </c>
      <c r="BH9" s="86">
        <f t="shared" si="12"/>
        <v>50</v>
      </c>
      <c r="BI9" s="96">
        <v>0.86</v>
      </c>
      <c r="BJ9" s="91" t="s">
        <v>207</v>
      </c>
      <c r="BQ9">
        <f t="shared" si="1"/>
        <v>3</v>
      </c>
      <c r="BR9" s="132">
        <f>IF(AND('.'!AU11&lt;=$BO$3,'.'!AU11&gt;0),'.'!AH11,"")</f>
        <v>35</v>
      </c>
      <c r="BS9">
        <f t="shared" si="2"/>
        <v>3</v>
      </c>
      <c r="BT9" t="str">
        <f>IF(OR(BQ11&lt;=BU8,BT8=""),"",IF(BU8&lt;&gt;0,VLOOKUP(BU8+1,BQ9:BR15,2,FALSE),IF(BS9&lt;&gt;0,BR9,IF(BS10&lt;&gt;0,BR10,""))))</f>
        <v/>
      </c>
      <c r="BU9">
        <f t="shared" si="3"/>
        <v>0</v>
      </c>
      <c r="BV9" s="134" t="str">
        <f>IFERROR(VLOOKUP(BT9,'.'!$AH$3:$AU$12,14,FALSE),"")</f>
        <v/>
      </c>
      <c r="BZ9" s="79" t="s">
        <v>229</v>
      </c>
      <c r="CA9" s="81">
        <f>VLOOKUP(CA6,BC53:BH101,6,FALSE)</f>
        <v>50</v>
      </c>
    </row>
    <row r="10" spans="34:79" ht="16.5" thickTop="1" thickBot="1">
      <c r="AH10" s="124">
        <v>30</v>
      </c>
      <c r="AI10" s="126">
        <f>Rebet.24!$I$5</f>
        <v>2.5</v>
      </c>
      <c r="AJ10" s="125">
        <f t="shared" si="4"/>
        <v>45</v>
      </c>
      <c r="AK10" s="124">
        <f t="shared" si="5"/>
        <v>125</v>
      </c>
      <c r="AL10" s="126">
        <f>Rebet.24!$P$5</f>
        <v>3.2</v>
      </c>
      <c r="AM10" s="124">
        <f>Rebet.24!$P$9</f>
        <v>50</v>
      </c>
      <c r="AN10" s="130">
        <f>Rebet.24!$I$11</f>
        <v>0.7</v>
      </c>
      <c r="AO10" s="124">
        <f t="shared" si="6"/>
        <v>15.000000000000002</v>
      </c>
      <c r="AP10" s="125">
        <f t="shared" si="7"/>
        <v>36.36363636363636</v>
      </c>
      <c r="AQ10" s="125">
        <f>AP10-(AP10*Rebet.24!$I$10)</f>
        <v>34.727272727272727</v>
      </c>
      <c r="AR10" s="125">
        <f t="shared" si="8"/>
        <v>80</v>
      </c>
      <c r="AS10" s="125">
        <f t="shared" si="9"/>
        <v>-35</v>
      </c>
      <c r="AT10" s="125">
        <f t="shared" si="10"/>
        <v>4.7272727272727266</v>
      </c>
      <c r="AU10" s="130">
        <f t="shared" si="11"/>
        <v>0.15757575757575756</v>
      </c>
      <c r="BC10" s="98" t="str">
        <f t="shared" si="0"/>
        <v>040</v>
      </c>
      <c r="BD10" s="78">
        <v>0</v>
      </c>
      <c r="BE10" s="72">
        <v>2.5</v>
      </c>
      <c r="BF10" s="72">
        <v>3</v>
      </c>
      <c r="BG10" s="73">
        <v>40</v>
      </c>
      <c r="BH10" s="86">
        <f t="shared" si="12"/>
        <v>50</v>
      </c>
      <c r="BI10" s="96">
        <v>0.86</v>
      </c>
      <c r="BJ10" s="91" t="s">
        <v>207</v>
      </c>
      <c r="BK10" s="290" t="s">
        <v>230</v>
      </c>
      <c r="BL10" s="291">
        <v>50</v>
      </c>
      <c r="BQ10">
        <f t="shared" si="1"/>
        <v>4</v>
      </c>
      <c r="BR10" s="132">
        <f>IF(AND('.'!AU12&lt;=$BO$3,'.'!AU12&gt;0),'.'!AH12,"")</f>
        <v>40</v>
      </c>
      <c r="BS10">
        <f t="shared" si="2"/>
        <v>4</v>
      </c>
      <c r="BT10" t="str">
        <f>IF(OR(BQ11&lt;=BU9,BT9=""),"",IF(BU9&lt;&gt;0,VLOOKUP(BU9+1,BQ10:BR16,2,FALSE),IF(BS10&lt;&gt;0,BR10,"")))</f>
        <v/>
      </c>
      <c r="BU10">
        <f t="shared" si="3"/>
        <v>0</v>
      </c>
      <c r="BV10" s="134" t="str">
        <f>IFERROR(VLOOKUP(BT10,'.'!$AH$3:$AU$12,14,FALSE),"")</f>
        <v/>
      </c>
      <c r="BZ10" s="79" t="s">
        <v>231</v>
      </c>
      <c r="CA10" s="94">
        <f>VLOOKUP(CA6,BC53:BI101,7,FALSE)</f>
        <v>0.75</v>
      </c>
    </row>
    <row r="11" spans="34:79" ht="16.5" thickTop="1" thickBot="1">
      <c r="AH11" s="124">
        <v>35</v>
      </c>
      <c r="AI11" s="126">
        <f>Rebet.24!$I$5</f>
        <v>2.5</v>
      </c>
      <c r="AJ11" s="125">
        <f t="shared" si="4"/>
        <v>52.5</v>
      </c>
      <c r="AK11" s="124">
        <f t="shared" si="5"/>
        <v>137.5</v>
      </c>
      <c r="AL11" s="126">
        <f>Rebet.24!$P$5</f>
        <v>3.2</v>
      </c>
      <c r="AM11" s="124">
        <f>Rebet.24!$P$9</f>
        <v>50</v>
      </c>
      <c r="AN11" s="130">
        <f>Rebet.24!$I$11</f>
        <v>0.7</v>
      </c>
      <c r="AO11" s="124">
        <f t="shared" si="6"/>
        <v>15.000000000000002</v>
      </c>
      <c r="AP11" s="125">
        <f t="shared" si="7"/>
        <v>39.772727272727266</v>
      </c>
      <c r="AQ11" s="125">
        <f>AP11-(AP11*Rebet.24!$I$10)</f>
        <v>37.98295454545454</v>
      </c>
      <c r="AR11" s="125">
        <f t="shared" si="8"/>
        <v>87.499999999999986</v>
      </c>
      <c r="AS11" s="125">
        <f t="shared" si="9"/>
        <v>-34.999999999999986</v>
      </c>
      <c r="AT11" s="125">
        <f t="shared" si="10"/>
        <v>2.9829545454545396</v>
      </c>
      <c r="AU11" s="130">
        <f t="shared" si="11"/>
        <v>8.5227272727272554E-2</v>
      </c>
      <c r="BC11" s="98" t="str">
        <f t="shared" si="0"/>
        <v>15</v>
      </c>
      <c r="BD11" s="78">
        <v>1</v>
      </c>
      <c r="BE11" s="72">
        <v>3.01</v>
      </c>
      <c r="BF11" s="72">
        <v>4</v>
      </c>
      <c r="BG11" s="73">
        <v>5</v>
      </c>
      <c r="BH11" s="86">
        <f t="shared" si="12"/>
        <v>50</v>
      </c>
      <c r="BI11" s="96">
        <v>0.87</v>
      </c>
      <c r="BJ11" s="90" t="s">
        <v>232</v>
      </c>
      <c r="BP11" t="s">
        <v>233</v>
      </c>
      <c r="BQ11">
        <f>MAX(BQ3:BQ10)</f>
        <v>4</v>
      </c>
      <c r="BZ11" s="79" t="s">
        <v>234</v>
      </c>
      <c r="CA11" s="80">
        <f>VLOOKUP(CA3,BK2:BL8,2,FALSE)</f>
        <v>1</v>
      </c>
    </row>
    <row r="12" spans="34:79" ht="16.5" thickTop="1" thickBot="1">
      <c r="AH12" s="124">
        <v>40</v>
      </c>
      <c r="AI12" s="126">
        <f>Rebet.24!$I$5</f>
        <v>2.5</v>
      </c>
      <c r="AJ12" s="125">
        <f t="shared" si="4"/>
        <v>60</v>
      </c>
      <c r="AK12" s="124">
        <f t="shared" si="5"/>
        <v>150</v>
      </c>
      <c r="AL12" s="126">
        <f>Rebet.24!$P$5</f>
        <v>3.2</v>
      </c>
      <c r="AM12" s="124">
        <f>Rebet.24!$P$9</f>
        <v>50</v>
      </c>
      <c r="AN12" s="130">
        <f>Rebet.24!$I$11</f>
        <v>0.7</v>
      </c>
      <c r="AO12" s="124">
        <f t="shared" si="6"/>
        <v>15.000000000000002</v>
      </c>
      <c r="AP12" s="125">
        <f t="shared" si="7"/>
        <v>43.18181818181818</v>
      </c>
      <c r="AQ12" s="125">
        <f>AP12-(AP12*Robybet!$I$10)</f>
        <v>41.23863636363636</v>
      </c>
      <c r="AR12" s="125">
        <f t="shared" si="8"/>
        <v>95</v>
      </c>
      <c r="AS12" s="125">
        <f t="shared" si="9"/>
        <v>-35</v>
      </c>
      <c r="AT12" s="125">
        <f t="shared" si="10"/>
        <v>1.2386363636363598</v>
      </c>
      <c r="AU12" s="130">
        <f t="shared" si="11"/>
        <v>3.0965909090908995E-2</v>
      </c>
      <c r="BC12" s="98" t="str">
        <f t="shared" si="0"/>
        <v>110</v>
      </c>
      <c r="BD12" s="78">
        <v>1</v>
      </c>
      <c r="BE12" s="72">
        <v>3.01</v>
      </c>
      <c r="BF12" s="72">
        <v>4</v>
      </c>
      <c r="BG12" s="73">
        <v>10</v>
      </c>
      <c r="BH12" s="86">
        <f t="shared" si="12"/>
        <v>50</v>
      </c>
      <c r="BI12" s="96">
        <v>0.87</v>
      </c>
      <c r="BJ12" s="90" t="s">
        <v>232</v>
      </c>
      <c r="BZ12" s="79" t="s">
        <v>235</v>
      </c>
      <c r="CA12" s="81">
        <f>IF(CA11=1,CA7,CA9)</f>
        <v>50</v>
      </c>
    </row>
    <row r="13" spans="34:79" ht="16.5" thickTop="1" thickBot="1">
      <c r="BC13" s="98" t="str">
        <f t="shared" si="0"/>
        <v>115</v>
      </c>
      <c r="BD13" s="78">
        <v>1</v>
      </c>
      <c r="BE13" s="72">
        <v>3.01</v>
      </c>
      <c r="BF13" s="72">
        <v>4</v>
      </c>
      <c r="BG13" s="73">
        <v>15</v>
      </c>
      <c r="BH13" s="86">
        <f t="shared" si="12"/>
        <v>50</v>
      </c>
      <c r="BI13" s="96">
        <v>0.87</v>
      </c>
      <c r="BJ13" s="90" t="s">
        <v>232</v>
      </c>
      <c r="BZ13" s="79" t="s">
        <v>236</v>
      </c>
      <c r="CA13" s="81">
        <f>IF(CA11=1,VLOOKUP($CA$2,$BQ$40:$BS$46,2,FALSE),VLOOKUP($CA$2,$BQ$40:$BW$46,4,FALSE))</f>
        <v>15</v>
      </c>
    </row>
    <row r="14" spans="34:79" ht="16.5" thickTop="1" thickBot="1">
      <c r="BC14" s="98" t="str">
        <f t="shared" si="0"/>
        <v>120</v>
      </c>
      <c r="BD14" s="78">
        <v>1</v>
      </c>
      <c r="BE14" s="72">
        <v>3.01</v>
      </c>
      <c r="BF14" s="72">
        <v>4</v>
      </c>
      <c r="BG14" s="73">
        <v>20</v>
      </c>
      <c r="BH14" s="86">
        <f t="shared" si="12"/>
        <v>50</v>
      </c>
      <c r="BI14" s="96">
        <v>0.87</v>
      </c>
      <c r="BJ14" s="90" t="s">
        <v>232</v>
      </c>
      <c r="BZ14" s="79" t="s">
        <v>237</v>
      </c>
      <c r="CA14" s="81">
        <f>IF(CA11=1,VLOOKUP($CA$2,$BQ$40:$BS$46,3,FALSE),VLOOKUP($CA$2,$BQ$40:$BW$46,5,FALSE))</f>
        <v>40</v>
      </c>
    </row>
    <row r="15" spans="34:79" ht="16.5" thickTop="1" thickBot="1">
      <c r="BC15" s="98" t="str">
        <f t="shared" si="0"/>
        <v>125</v>
      </c>
      <c r="BD15" s="78">
        <v>1</v>
      </c>
      <c r="BE15" s="72">
        <v>3.01</v>
      </c>
      <c r="BF15" s="72">
        <v>4</v>
      </c>
      <c r="BG15" s="73">
        <v>25</v>
      </c>
      <c r="BH15" s="86">
        <f t="shared" si="12"/>
        <v>50</v>
      </c>
      <c r="BI15" s="96">
        <v>0.87</v>
      </c>
      <c r="BJ15" s="90" t="s">
        <v>232</v>
      </c>
    </row>
    <row r="16" spans="34:79" ht="16.5" thickTop="1" thickBot="1">
      <c r="BC16" s="98" t="str">
        <f t="shared" si="0"/>
        <v>130</v>
      </c>
      <c r="BD16" s="78">
        <v>1</v>
      </c>
      <c r="BE16" s="72">
        <v>3.01</v>
      </c>
      <c r="BF16" s="72">
        <v>4</v>
      </c>
      <c r="BG16" s="73">
        <v>30</v>
      </c>
      <c r="BH16" s="86">
        <f t="shared" si="12"/>
        <v>50</v>
      </c>
      <c r="BI16" s="96">
        <v>0.87</v>
      </c>
      <c r="BJ16" s="90" t="s">
        <v>232</v>
      </c>
    </row>
    <row r="17" spans="55:62" ht="16.5" thickTop="1" thickBot="1">
      <c r="BC17" s="98" t="str">
        <f t="shared" si="0"/>
        <v>135</v>
      </c>
      <c r="BD17" s="78">
        <v>1</v>
      </c>
      <c r="BE17" s="72">
        <v>3.01</v>
      </c>
      <c r="BF17" s="72">
        <v>4</v>
      </c>
      <c r="BG17" s="73">
        <v>35</v>
      </c>
      <c r="BH17" s="86">
        <f t="shared" si="12"/>
        <v>50</v>
      </c>
      <c r="BI17" s="96">
        <v>0.87</v>
      </c>
      <c r="BJ17" s="90" t="s">
        <v>232</v>
      </c>
    </row>
    <row r="18" spans="55:62" ht="16.5" thickTop="1" thickBot="1">
      <c r="BC18" s="98" t="str">
        <f t="shared" si="0"/>
        <v>140</v>
      </c>
      <c r="BD18" s="78">
        <v>1</v>
      </c>
      <c r="BE18" s="72">
        <v>3.01</v>
      </c>
      <c r="BF18" s="72">
        <v>4</v>
      </c>
      <c r="BG18" s="73">
        <v>40</v>
      </c>
      <c r="BH18" s="86">
        <f t="shared" si="12"/>
        <v>50</v>
      </c>
      <c r="BI18" s="96">
        <v>0.87</v>
      </c>
      <c r="BJ18" s="90" t="s">
        <v>232</v>
      </c>
    </row>
    <row r="19" spans="55:62" ht="16.5" thickTop="1" thickBot="1">
      <c r="BC19" s="98" t="str">
        <f t="shared" si="0"/>
        <v>25</v>
      </c>
      <c r="BD19" s="78">
        <v>2</v>
      </c>
      <c r="BE19" s="72">
        <v>4.01</v>
      </c>
      <c r="BF19" s="72">
        <v>5</v>
      </c>
      <c r="BG19" s="73">
        <v>5</v>
      </c>
      <c r="BH19" s="86">
        <f t="shared" si="12"/>
        <v>50</v>
      </c>
      <c r="BI19" s="96">
        <v>0.82</v>
      </c>
      <c r="BJ19" s="90" t="s">
        <v>238</v>
      </c>
    </row>
    <row r="20" spans="55:62" ht="16.5" thickTop="1" thickBot="1">
      <c r="BC20" s="98" t="str">
        <f t="shared" si="0"/>
        <v>210</v>
      </c>
      <c r="BD20" s="78">
        <v>2</v>
      </c>
      <c r="BE20" s="72">
        <v>4.01</v>
      </c>
      <c r="BF20" s="72">
        <v>5</v>
      </c>
      <c r="BG20" s="73">
        <v>10</v>
      </c>
      <c r="BH20" s="86">
        <f t="shared" si="12"/>
        <v>50</v>
      </c>
      <c r="BI20" s="96">
        <v>0.82</v>
      </c>
      <c r="BJ20" s="90" t="s">
        <v>238</v>
      </c>
    </row>
    <row r="21" spans="55:62" ht="16.5" thickTop="1" thickBot="1">
      <c r="BC21" s="98" t="str">
        <f t="shared" si="0"/>
        <v>215</v>
      </c>
      <c r="BD21" s="78">
        <v>2</v>
      </c>
      <c r="BE21" s="72">
        <v>4.01</v>
      </c>
      <c r="BF21" s="72">
        <v>5</v>
      </c>
      <c r="BG21" s="73">
        <v>15</v>
      </c>
      <c r="BH21" s="86">
        <f t="shared" si="12"/>
        <v>50</v>
      </c>
      <c r="BI21" s="96">
        <v>0.82</v>
      </c>
      <c r="BJ21" s="90" t="s">
        <v>238</v>
      </c>
    </row>
    <row r="22" spans="55:62" ht="16.5" thickTop="1" thickBot="1">
      <c r="BC22" s="98" t="str">
        <f t="shared" si="0"/>
        <v>220</v>
      </c>
      <c r="BD22" s="78">
        <v>2</v>
      </c>
      <c r="BE22" s="72">
        <v>4.01</v>
      </c>
      <c r="BF22" s="72">
        <v>5</v>
      </c>
      <c r="BG22" s="73">
        <v>20</v>
      </c>
      <c r="BH22" s="86">
        <f t="shared" si="12"/>
        <v>50</v>
      </c>
      <c r="BI22" s="96">
        <v>0.82</v>
      </c>
      <c r="BJ22" s="90" t="s">
        <v>238</v>
      </c>
    </row>
    <row r="23" spans="55:62" ht="16.5" thickTop="1" thickBot="1">
      <c r="BC23" s="98" t="str">
        <f t="shared" si="0"/>
        <v>225</v>
      </c>
      <c r="BD23" s="78">
        <v>2</v>
      </c>
      <c r="BE23" s="72">
        <v>4.01</v>
      </c>
      <c r="BF23" s="72">
        <v>5</v>
      </c>
      <c r="BG23" s="73">
        <v>25</v>
      </c>
      <c r="BH23" s="86">
        <f t="shared" si="12"/>
        <v>50</v>
      </c>
      <c r="BI23" s="96">
        <v>0.82</v>
      </c>
      <c r="BJ23" s="90" t="s">
        <v>238</v>
      </c>
    </row>
    <row r="24" spans="55:62" ht="16.5" thickTop="1" thickBot="1">
      <c r="BC24" s="98" t="str">
        <f t="shared" si="0"/>
        <v>230</v>
      </c>
      <c r="BD24" s="78">
        <v>2</v>
      </c>
      <c r="BE24" s="72">
        <v>4.01</v>
      </c>
      <c r="BF24" s="72">
        <v>5</v>
      </c>
      <c r="BG24" s="73">
        <v>30</v>
      </c>
      <c r="BH24" s="86">
        <f t="shared" si="12"/>
        <v>50</v>
      </c>
      <c r="BI24" s="96">
        <v>0.82</v>
      </c>
      <c r="BJ24" s="90" t="s">
        <v>238</v>
      </c>
    </row>
    <row r="25" spans="55:62" ht="16.5" thickTop="1" thickBot="1">
      <c r="BC25" s="98" t="str">
        <f t="shared" si="0"/>
        <v>235</v>
      </c>
      <c r="BD25" s="78">
        <v>2</v>
      </c>
      <c r="BE25" s="72">
        <v>4.01</v>
      </c>
      <c r="BF25" s="72">
        <v>5</v>
      </c>
      <c r="BG25" s="73">
        <v>35</v>
      </c>
      <c r="BH25" s="86">
        <f t="shared" si="12"/>
        <v>50</v>
      </c>
      <c r="BI25" s="96">
        <v>0.82</v>
      </c>
      <c r="BJ25" s="90" t="s">
        <v>238</v>
      </c>
    </row>
    <row r="26" spans="55:62" ht="16.5" thickTop="1" thickBot="1">
      <c r="BC26" s="98" t="str">
        <f t="shared" si="0"/>
        <v>240</v>
      </c>
      <c r="BD26" s="78">
        <v>2</v>
      </c>
      <c r="BE26" s="72">
        <v>4.01</v>
      </c>
      <c r="BF26" s="72">
        <v>5</v>
      </c>
      <c r="BG26" s="73">
        <v>40</v>
      </c>
      <c r="BH26" s="86">
        <f t="shared" si="12"/>
        <v>50</v>
      </c>
      <c r="BI26" s="96">
        <v>0.82</v>
      </c>
      <c r="BJ26" s="90" t="s">
        <v>238</v>
      </c>
    </row>
    <row r="27" spans="55:62" ht="16.5" thickTop="1" thickBot="1">
      <c r="BC27" s="98" t="str">
        <f t="shared" si="0"/>
        <v>35</v>
      </c>
      <c r="BD27" s="78">
        <v>3</v>
      </c>
      <c r="BE27" s="72">
        <v>5.01</v>
      </c>
      <c r="BF27" s="72">
        <v>5.5</v>
      </c>
      <c r="BG27" s="73">
        <v>5</v>
      </c>
      <c r="BH27" s="86">
        <f t="shared" si="12"/>
        <v>50</v>
      </c>
      <c r="BI27" s="96">
        <v>0.75</v>
      </c>
      <c r="BJ27" s="90" t="s">
        <v>239</v>
      </c>
    </row>
    <row r="28" spans="55:62" ht="16.5" thickTop="1" thickBot="1">
      <c r="BC28" s="98" t="str">
        <f t="shared" si="0"/>
        <v>310</v>
      </c>
      <c r="BD28" s="78">
        <v>3</v>
      </c>
      <c r="BE28" s="72">
        <v>5.01</v>
      </c>
      <c r="BF28" s="72">
        <v>5.5</v>
      </c>
      <c r="BG28" s="73">
        <v>10</v>
      </c>
      <c r="BH28" s="86">
        <f t="shared" si="12"/>
        <v>50</v>
      </c>
      <c r="BI28" s="96">
        <v>0.75</v>
      </c>
      <c r="BJ28" s="90" t="s">
        <v>239</v>
      </c>
    </row>
    <row r="29" spans="55:62" ht="16.5" thickTop="1" thickBot="1">
      <c r="BC29" s="98" t="str">
        <f t="shared" si="0"/>
        <v>315</v>
      </c>
      <c r="BD29" s="78">
        <v>3</v>
      </c>
      <c r="BE29" s="72">
        <v>5.01</v>
      </c>
      <c r="BF29" s="72">
        <v>5.5</v>
      </c>
      <c r="BG29" s="73">
        <v>15</v>
      </c>
      <c r="BH29" s="86">
        <f t="shared" si="12"/>
        <v>50</v>
      </c>
      <c r="BI29" s="96">
        <v>0.75</v>
      </c>
      <c r="BJ29" s="90" t="s">
        <v>239</v>
      </c>
    </row>
    <row r="30" spans="55:62" ht="16.5" thickTop="1" thickBot="1">
      <c r="BC30" s="98" t="str">
        <f t="shared" si="0"/>
        <v>320</v>
      </c>
      <c r="BD30" s="78">
        <v>3</v>
      </c>
      <c r="BE30" s="72">
        <v>5.01</v>
      </c>
      <c r="BF30" s="72">
        <v>5.5</v>
      </c>
      <c r="BG30" s="73">
        <v>20</v>
      </c>
      <c r="BH30" s="86">
        <f t="shared" si="12"/>
        <v>50</v>
      </c>
      <c r="BI30" s="96">
        <v>0.75</v>
      </c>
      <c r="BJ30" s="90" t="s">
        <v>239</v>
      </c>
    </row>
    <row r="31" spans="55:62" ht="16.5" thickTop="1" thickBot="1">
      <c r="BC31" s="98" t="str">
        <f t="shared" si="0"/>
        <v>325</v>
      </c>
      <c r="BD31" s="78">
        <v>3</v>
      </c>
      <c r="BE31" s="72">
        <v>5.01</v>
      </c>
      <c r="BF31" s="72">
        <v>5.5</v>
      </c>
      <c r="BG31" s="73">
        <v>25</v>
      </c>
      <c r="BH31" s="86">
        <f t="shared" si="12"/>
        <v>50</v>
      </c>
      <c r="BI31" s="96">
        <v>0.75</v>
      </c>
      <c r="BJ31" s="90" t="s">
        <v>239</v>
      </c>
    </row>
    <row r="32" spans="55:62" ht="16.5" thickTop="1" thickBot="1">
      <c r="BC32" s="98" t="str">
        <f t="shared" si="0"/>
        <v>330</v>
      </c>
      <c r="BD32" s="78">
        <v>3</v>
      </c>
      <c r="BE32" s="72">
        <v>5.01</v>
      </c>
      <c r="BF32" s="72">
        <v>5.5</v>
      </c>
      <c r="BG32" s="73">
        <v>30</v>
      </c>
      <c r="BH32" s="86">
        <f t="shared" si="12"/>
        <v>50</v>
      </c>
      <c r="BI32" s="96">
        <v>0.75</v>
      </c>
      <c r="BJ32" s="90" t="s">
        <v>239</v>
      </c>
    </row>
    <row r="33" spans="55:79" ht="16.5" thickTop="1" thickBot="1">
      <c r="BC33" s="98" t="str">
        <f t="shared" si="0"/>
        <v>335</v>
      </c>
      <c r="BD33" s="78">
        <v>3</v>
      </c>
      <c r="BE33" s="72">
        <v>5.01</v>
      </c>
      <c r="BF33" s="72">
        <v>5.5</v>
      </c>
      <c r="BG33" s="73">
        <v>35</v>
      </c>
      <c r="BH33" s="86">
        <f t="shared" si="12"/>
        <v>50</v>
      </c>
      <c r="BI33" s="96">
        <v>0.75</v>
      </c>
      <c r="BJ33" s="90" t="s">
        <v>239</v>
      </c>
    </row>
    <row r="34" spans="55:79" ht="16.5" thickTop="1" thickBot="1">
      <c r="BC34" s="98" t="str">
        <f t="shared" si="0"/>
        <v>340</v>
      </c>
      <c r="BD34" s="78">
        <v>3</v>
      </c>
      <c r="BE34" s="72">
        <v>5.01</v>
      </c>
      <c r="BF34" s="72">
        <v>5.5</v>
      </c>
      <c r="BG34" s="73">
        <v>40</v>
      </c>
      <c r="BH34" s="86">
        <f t="shared" si="12"/>
        <v>50</v>
      </c>
      <c r="BI34" s="96">
        <v>0.75</v>
      </c>
      <c r="BJ34" s="90" t="s">
        <v>239</v>
      </c>
    </row>
    <row r="35" spans="55:79" ht="16.5" thickTop="1" thickBot="1">
      <c r="BC35" s="98" t="str">
        <f t="shared" si="0"/>
        <v>45</v>
      </c>
      <c r="BD35" s="78">
        <v>4</v>
      </c>
      <c r="BE35" s="72">
        <v>5.51</v>
      </c>
      <c r="BF35" s="72">
        <v>6</v>
      </c>
      <c r="BG35" s="73">
        <v>5</v>
      </c>
      <c r="BH35" s="86">
        <f t="shared" si="12"/>
        <v>50</v>
      </c>
      <c r="BI35" s="96">
        <v>0.72</v>
      </c>
      <c r="BJ35" s="90" t="s">
        <v>240</v>
      </c>
    </row>
    <row r="36" spans="55:79" ht="16.5" thickTop="1" thickBot="1">
      <c r="BC36" s="98" t="str">
        <f t="shared" si="0"/>
        <v>410</v>
      </c>
      <c r="BD36" s="78">
        <v>4</v>
      </c>
      <c r="BE36" s="72">
        <v>5.51</v>
      </c>
      <c r="BF36" s="72">
        <v>6</v>
      </c>
      <c r="BG36" s="73">
        <v>10</v>
      </c>
      <c r="BH36" s="86">
        <f t="shared" si="12"/>
        <v>50</v>
      </c>
      <c r="BI36" s="96">
        <v>0.72</v>
      </c>
      <c r="BJ36" s="90" t="s">
        <v>240</v>
      </c>
    </row>
    <row r="37" spans="55:79" ht="16.5" thickTop="1" thickBot="1">
      <c r="BC37" s="98" t="str">
        <f t="shared" si="0"/>
        <v>415</v>
      </c>
      <c r="BD37" s="78">
        <v>4</v>
      </c>
      <c r="BE37" s="72">
        <v>5.51</v>
      </c>
      <c r="BF37" s="72">
        <v>6</v>
      </c>
      <c r="BG37" s="73">
        <v>15</v>
      </c>
      <c r="BH37" s="86">
        <f t="shared" si="12"/>
        <v>50</v>
      </c>
      <c r="BI37" s="96">
        <v>0.72</v>
      </c>
      <c r="BJ37" s="90" t="s">
        <v>240</v>
      </c>
    </row>
    <row r="38" spans="55:79" ht="16.5" thickTop="1" thickBot="1">
      <c r="BC38" s="98" t="str">
        <f t="shared" si="0"/>
        <v>420</v>
      </c>
      <c r="BD38" s="78">
        <v>4</v>
      </c>
      <c r="BE38" s="72">
        <v>5.51</v>
      </c>
      <c r="BF38" s="72">
        <v>6</v>
      </c>
      <c r="BG38" s="73">
        <v>20</v>
      </c>
      <c r="BH38" s="86">
        <f t="shared" si="12"/>
        <v>50</v>
      </c>
      <c r="BI38" s="96">
        <v>0.72</v>
      </c>
      <c r="BJ38" s="90" t="s">
        <v>240</v>
      </c>
    </row>
    <row r="39" spans="55:79" ht="16.5" thickTop="1" thickBot="1">
      <c r="BC39" s="98" t="str">
        <f t="shared" si="0"/>
        <v>425</v>
      </c>
      <c r="BD39" s="78">
        <v>4</v>
      </c>
      <c r="BE39" s="72">
        <v>5.51</v>
      </c>
      <c r="BF39" s="72">
        <v>6</v>
      </c>
      <c r="BG39" s="73">
        <v>25</v>
      </c>
      <c r="BH39" s="86">
        <f t="shared" si="12"/>
        <v>50</v>
      </c>
      <c r="BI39" s="96">
        <v>0.72</v>
      </c>
      <c r="BJ39" s="90" t="s">
        <v>240</v>
      </c>
    </row>
    <row r="40" spans="55:79" ht="42" thickTop="1" thickBot="1">
      <c r="BC40" s="98" t="str">
        <f t="shared" si="0"/>
        <v>430</v>
      </c>
      <c r="BD40" s="78">
        <v>4</v>
      </c>
      <c r="BE40" s="72">
        <v>5.51</v>
      </c>
      <c r="BF40" s="72">
        <v>6</v>
      </c>
      <c r="BG40" s="73">
        <v>30</v>
      </c>
      <c r="BH40" s="86">
        <f t="shared" si="12"/>
        <v>50</v>
      </c>
      <c r="BI40" s="96">
        <v>0.72</v>
      </c>
      <c r="BJ40" s="90" t="s">
        <v>240</v>
      </c>
      <c r="BO40" s="71" t="s">
        <v>190</v>
      </c>
      <c r="BP40" s="71" t="s">
        <v>191</v>
      </c>
      <c r="BQ40" s="71" t="s">
        <v>189</v>
      </c>
      <c r="BR40" s="101" t="s">
        <v>241</v>
      </c>
      <c r="BS40" s="102" t="s">
        <v>242</v>
      </c>
      <c r="BT40" s="701" t="s">
        <v>243</v>
      </c>
      <c r="BU40" s="702"/>
      <c r="BV40" s="101" t="s">
        <v>244</v>
      </c>
      <c r="BW40" s="102" t="s">
        <v>245</v>
      </c>
      <c r="BX40" s="701" t="s">
        <v>243</v>
      </c>
      <c r="BY40" s="702"/>
      <c r="BZ40" s="78" t="s">
        <v>194</v>
      </c>
      <c r="CA40" s="92" t="s">
        <v>195</v>
      </c>
    </row>
    <row r="41" spans="55:79" ht="16.5" thickTop="1" thickBot="1">
      <c r="BC41" s="98" t="str">
        <f t="shared" si="0"/>
        <v>435</v>
      </c>
      <c r="BD41" s="78">
        <v>4</v>
      </c>
      <c r="BE41" s="72">
        <v>5.51</v>
      </c>
      <c r="BF41" s="72">
        <v>6</v>
      </c>
      <c r="BG41" s="73">
        <v>35</v>
      </c>
      <c r="BH41" s="86">
        <f t="shared" si="12"/>
        <v>50</v>
      </c>
      <c r="BI41" s="96">
        <v>0.72</v>
      </c>
      <c r="BJ41" s="90" t="s">
        <v>240</v>
      </c>
      <c r="BO41" s="72">
        <v>2.5</v>
      </c>
      <c r="BP41" s="72">
        <v>3</v>
      </c>
      <c r="BQ41" s="77">
        <v>0</v>
      </c>
      <c r="BR41" s="85">
        <f>MIN($BG$5:$BG$10)</f>
        <v>15</v>
      </c>
      <c r="BS41" s="85">
        <f>MAX($BG$5:$BG$10)</f>
        <v>40</v>
      </c>
      <c r="BT41" s="99">
        <v>0.04</v>
      </c>
      <c r="BU41" s="99">
        <v>0.19</v>
      </c>
      <c r="BV41" s="85">
        <f>MIN($BG$55:$BG$58)</f>
        <v>10</v>
      </c>
      <c r="BW41" s="85">
        <f>MAX($BG$55:$BG$58)</f>
        <v>25</v>
      </c>
      <c r="BX41" s="100">
        <v>0.05</v>
      </c>
      <c r="BY41" s="100">
        <v>0.2</v>
      </c>
      <c r="BZ41" s="97">
        <v>0.75</v>
      </c>
      <c r="CA41" s="292" t="s">
        <v>246</v>
      </c>
    </row>
    <row r="42" spans="55:79" ht="16.5" thickTop="1" thickBot="1">
      <c r="BC42" s="98" t="str">
        <f t="shared" si="0"/>
        <v>440</v>
      </c>
      <c r="BD42" s="78">
        <v>4</v>
      </c>
      <c r="BE42" s="72">
        <v>5.51</v>
      </c>
      <c r="BF42" s="72">
        <v>6</v>
      </c>
      <c r="BG42" s="73">
        <v>40</v>
      </c>
      <c r="BH42" s="86">
        <f t="shared" si="12"/>
        <v>50</v>
      </c>
      <c r="BI42" s="96">
        <v>0.72</v>
      </c>
      <c r="BJ42" s="90" t="s">
        <v>240</v>
      </c>
      <c r="BO42" s="72">
        <v>3.01</v>
      </c>
      <c r="BP42" s="72">
        <v>4</v>
      </c>
      <c r="BQ42" s="77">
        <v>1</v>
      </c>
      <c r="BR42" s="85">
        <f>MIN($BG$12:$BG$18)</f>
        <v>10</v>
      </c>
      <c r="BS42" s="85">
        <f>MAX($BG$12:$BG$18)</f>
        <v>40</v>
      </c>
      <c r="BT42" s="99">
        <v>0.06</v>
      </c>
      <c r="BU42" s="99">
        <v>0.2</v>
      </c>
      <c r="BV42" s="85">
        <f>MIN($BG$63:$BG$65)</f>
        <v>10</v>
      </c>
      <c r="BW42" s="85">
        <f>MAX($BG$63:$BG$65)</f>
        <v>20</v>
      </c>
      <c r="BX42" s="100">
        <v>0.05</v>
      </c>
      <c r="BY42" s="100">
        <v>0.26</v>
      </c>
      <c r="BZ42" s="97">
        <v>0.7</v>
      </c>
      <c r="CA42" s="89" t="s">
        <v>247</v>
      </c>
    </row>
    <row r="43" spans="55:79" ht="16.5" thickTop="1" thickBot="1">
      <c r="BC43" s="98" t="str">
        <f t="shared" si="0"/>
        <v>55</v>
      </c>
      <c r="BD43" s="78">
        <v>5</v>
      </c>
      <c r="BE43" s="72">
        <v>6.01</v>
      </c>
      <c r="BF43" s="72">
        <v>7</v>
      </c>
      <c r="BG43" s="73">
        <v>5</v>
      </c>
      <c r="BH43" s="86">
        <f t="shared" si="12"/>
        <v>50</v>
      </c>
      <c r="BI43" s="96">
        <v>0.67</v>
      </c>
      <c r="BJ43" s="90" t="s">
        <v>248</v>
      </c>
      <c r="BO43" s="72">
        <v>4.01</v>
      </c>
      <c r="BP43" s="72">
        <v>5</v>
      </c>
      <c r="BQ43" s="77">
        <v>2</v>
      </c>
      <c r="BR43" s="85">
        <f>MIN($BG$20:$BG$26)</f>
        <v>10</v>
      </c>
      <c r="BS43" s="85">
        <f>MAX($BG$20:$BG$26)</f>
        <v>40</v>
      </c>
      <c r="BT43" s="89">
        <v>0.12</v>
      </c>
      <c r="BU43" s="89">
        <v>0.3</v>
      </c>
      <c r="BV43" s="85">
        <f>MIN($BG$71:$BG$73)</f>
        <v>10</v>
      </c>
      <c r="BW43" s="85">
        <f>MAX($BG$71:$BG$73)</f>
        <v>20</v>
      </c>
      <c r="BX43" s="100">
        <v>0.1</v>
      </c>
      <c r="BY43" s="100">
        <v>0.33</v>
      </c>
      <c r="BZ43" s="97">
        <v>0.61</v>
      </c>
      <c r="CA43" s="292" t="s">
        <v>249</v>
      </c>
    </row>
    <row r="44" spans="55:79" ht="16.5" thickTop="1" thickBot="1">
      <c r="BC44" s="98" t="str">
        <f t="shared" si="0"/>
        <v>510</v>
      </c>
      <c r="BD44" s="78">
        <v>5</v>
      </c>
      <c r="BE44" s="72">
        <v>6.01</v>
      </c>
      <c r="BF44" s="72">
        <v>7</v>
      </c>
      <c r="BG44" s="73">
        <v>10</v>
      </c>
      <c r="BH44" s="86">
        <f t="shared" si="12"/>
        <v>50</v>
      </c>
      <c r="BI44" s="96">
        <v>0.67</v>
      </c>
      <c r="BJ44" s="90" t="s">
        <v>248</v>
      </c>
      <c r="BO44" s="72">
        <v>5.01</v>
      </c>
      <c r="BP44" s="72">
        <v>5.5</v>
      </c>
      <c r="BQ44" s="77">
        <v>3</v>
      </c>
      <c r="BR44" s="85">
        <f>MIN($BG$27:$BG$31)</f>
        <v>5</v>
      </c>
      <c r="BS44" s="85">
        <f>MAX($BG$27:$BG$31)</f>
        <v>25</v>
      </c>
      <c r="BT44" s="89">
        <v>0.12</v>
      </c>
      <c r="BU44" s="89">
        <v>0.35</v>
      </c>
      <c r="BV44" s="85">
        <f>MIN($BG$78:$BG$79)</f>
        <v>5</v>
      </c>
      <c r="BW44" s="85">
        <f>MAX($BG$78:$BG$79)</f>
        <v>10</v>
      </c>
      <c r="BX44" s="100">
        <v>0.1</v>
      </c>
      <c r="BY44" s="100">
        <v>0.4</v>
      </c>
      <c r="BZ44" s="97">
        <v>0.56999999999999995</v>
      </c>
      <c r="CA44" s="292" t="s">
        <v>250</v>
      </c>
    </row>
    <row r="45" spans="55:79" ht="16.5" thickTop="1" thickBot="1">
      <c r="BC45" s="98" t="str">
        <f t="shared" si="0"/>
        <v>515</v>
      </c>
      <c r="BD45" s="78">
        <v>5</v>
      </c>
      <c r="BE45" s="72">
        <v>6.01</v>
      </c>
      <c r="BF45" s="72">
        <v>7</v>
      </c>
      <c r="BG45" s="73">
        <v>15</v>
      </c>
      <c r="BH45" s="86">
        <f t="shared" si="12"/>
        <v>50</v>
      </c>
      <c r="BI45" s="96">
        <v>0.67</v>
      </c>
      <c r="BJ45" s="90" t="s">
        <v>248</v>
      </c>
      <c r="BO45" s="72">
        <v>5.51</v>
      </c>
      <c r="BP45" s="72">
        <v>6</v>
      </c>
      <c r="BQ45" s="77">
        <v>4</v>
      </c>
      <c r="BR45" s="85">
        <f>MIN($BG$35:$BG$38)</f>
        <v>5</v>
      </c>
      <c r="BS45" s="85">
        <f>MAX($BG$35:$BG$38)</f>
        <v>20</v>
      </c>
      <c r="BT45" s="89">
        <v>0.14000000000000001</v>
      </c>
      <c r="BU45" s="89">
        <v>0.38</v>
      </c>
      <c r="BV45" s="85">
        <f>MIN($BG$86:$BG$87)</f>
        <v>5</v>
      </c>
      <c r="BW45" s="85">
        <f>MAX($BG$86:$BG$87)</f>
        <v>10</v>
      </c>
      <c r="BX45" s="100">
        <v>0.2</v>
      </c>
      <c r="BY45" s="100">
        <v>0.4</v>
      </c>
      <c r="BZ45" s="97">
        <v>0.54</v>
      </c>
      <c r="CA45" s="89" t="s">
        <v>251</v>
      </c>
    </row>
    <row r="46" spans="55:79" ht="16.5" thickTop="1" thickBot="1">
      <c r="BC46" s="98" t="str">
        <f t="shared" si="0"/>
        <v>520</v>
      </c>
      <c r="BD46" s="78">
        <v>5</v>
      </c>
      <c r="BE46" s="72">
        <v>6.01</v>
      </c>
      <c r="BF46" s="72">
        <v>7</v>
      </c>
      <c r="BG46" s="73">
        <v>20</v>
      </c>
      <c r="BH46" s="86">
        <f t="shared" si="12"/>
        <v>50</v>
      </c>
      <c r="BI46" s="96">
        <v>0.67</v>
      </c>
      <c r="BJ46" s="90" t="s">
        <v>248</v>
      </c>
      <c r="BO46" s="72">
        <v>6.01</v>
      </c>
      <c r="BP46" s="72">
        <v>7</v>
      </c>
      <c r="BQ46" s="77">
        <v>5</v>
      </c>
      <c r="BR46" s="85">
        <f>MIN($BG$43:$BG$45)</f>
        <v>5</v>
      </c>
      <c r="BS46" s="85">
        <f>MAX($BG$43:$BG$45)</f>
        <v>15</v>
      </c>
      <c r="BT46" s="89">
        <v>0.16</v>
      </c>
      <c r="BU46" s="89">
        <v>0.43</v>
      </c>
      <c r="BV46" s="85">
        <f>MIN($BG$94:$BG$95)</f>
        <v>5</v>
      </c>
      <c r="BW46" s="85">
        <f>MAX($BG$94:$BG$95)</f>
        <v>10</v>
      </c>
      <c r="BX46" s="100">
        <v>0.2</v>
      </c>
      <c r="BY46" s="100">
        <v>0.4</v>
      </c>
      <c r="BZ46" s="97">
        <v>0.54</v>
      </c>
      <c r="CA46" s="89" t="s">
        <v>251</v>
      </c>
    </row>
    <row r="47" spans="55:79" ht="16.5" thickTop="1" thickBot="1">
      <c r="BC47" s="98" t="str">
        <f t="shared" si="0"/>
        <v>525</v>
      </c>
      <c r="BD47" s="78">
        <v>5</v>
      </c>
      <c r="BE47" s="72">
        <v>6.01</v>
      </c>
      <c r="BF47" s="72">
        <v>7</v>
      </c>
      <c r="BG47" s="73">
        <v>25</v>
      </c>
      <c r="BH47" s="86">
        <f t="shared" si="12"/>
        <v>50</v>
      </c>
      <c r="BI47" s="96">
        <v>0.67</v>
      </c>
      <c r="BJ47" s="90" t="s">
        <v>248</v>
      </c>
      <c r="BK47" t="s">
        <v>252</v>
      </c>
    </row>
    <row r="48" spans="55:79" ht="16.5" thickTop="1" thickBot="1">
      <c r="BC48" s="98" t="str">
        <f t="shared" si="0"/>
        <v>530</v>
      </c>
      <c r="BD48" s="78">
        <v>5</v>
      </c>
      <c r="BE48" s="72">
        <v>6.01</v>
      </c>
      <c r="BF48" s="72">
        <v>7</v>
      </c>
      <c r="BG48" s="73">
        <v>30</v>
      </c>
      <c r="BH48" s="86">
        <f t="shared" si="12"/>
        <v>50</v>
      </c>
      <c r="BI48" s="96">
        <v>0.67</v>
      </c>
      <c r="BJ48" s="90" t="s">
        <v>248</v>
      </c>
    </row>
    <row r="49" spans="55:79" ht="16.5" thickTop="1" thickBot="1">
      <c r="BC49" s="98" t="str">
        <f t="shared" si="0"/>
        <v>535</v>
      </c>
      <c r="BD49" s="78">
        <v>5</v>
      </c>
      <c r="BE49" s="72">
        <v>6.01</v>
      </c>
      <c r="BF49" s="72">
        <v>7</v>
      </c>
      <c r="BG49" s="73">
        <v>35</v>
      </c>
      <c r="BH49" s="86">
        <f t="shared" si="12"/>
        <v>50</v>
      </c>
      <c r="BI49" s="96">
        <v>0.67</v>
      </c>
      <c r="BJ49" s="90" t="s">
        <v>248</v>
      </c>
      <c r="BO49" s="104"/>
    </row>
    <row r="50" spans="55:79" ht="16.5" thickTop="1" thickBot="1">
      <c r="BC50" s="98" t="str">
        <f t="shared" si="0"/>
        <v>540</v>
      </c>
      <c r="BD50" s="78">
        <v>5</v>
      </c>
      <c r="BE50" s="72">
        <v>6.01</v>
      </c>
      <c r="BF50" s="72">
        <v>7</v>
      </c>
      <c r="BG50" s="73">
        <v>40</v>
      </c>
      <c r="BH50" s="86">
        <f>BH49</f>
        <v>50</v>
      </c>
      <c r="BI50" s="96">
        <v>0.67</v>
      </c>
      <c r="BJ50" s="90" t="s">
        <v>248</v>
      </c>
    </row>
    <row r="51" spans="55:79" ht="15" thickTop="1">
      <c r="BH51" s="88"/>
      <c r="BI51" s="88"/>
      <c r="BJ51" s="88"/>
    </row>
    <row r="52" spans="55:79" ht="23.25" customHeight="1" thickBot="1">
      <c r="BH52" s="88"/>
      <c r="BI52" s="88"/>
      <c r="BJ52" s="88"/>
      <c r="BO52" s="105"/>
      <c r="BP52" s="105"/>
      <c r="BQ52" s="105"/>
      <c r="BR52" s="106"/>
      <c r="BS52" s="107"/>
      <c r="BT52" s="703"/>
      <c r="BU52" s="703"/>
      <c r="BV52" s="106"/>
      <c r="BW52" s="107"/>
      <c r="BX52" s="703"/>
      <c r="BY52" s="703"/>
      <c r="BZ52" s="108"/>
      <c r="CA52" s="109"/>
    </row>
    <row r="53" spans="55:79" ht="28.5" thickTop="1" thickBot="1">
      <c r="BC53" s="71" t="s">
        <v>188</v>
      </c>
      <c r="BD53" s="71" t="s">
        <v>189</v>
      </c>
      <c r="BE53" s="71" t="s">
        <v>190</v>
      </c>
      <c r="BF53" s="71" t="s">
        <v>191</v>
      </c>
      <c r="BG53" s="71" t="s">
        <v>192</v>
      </c>
      <c r="BH53" s="87" t="s">
        <v>229</v>
      </c>
      <c r="BI53" s="78" t="s">
        <v>194</v>
      </c>
      <c r="BJ53" s="92" t="s">
        <v>195</v>
      </c>
      <c r="BO53" s="104"/>
      <c r="BP53" s="104"/>
      <c r="BQ53" s="110"/>
      <c r="BR53" s="111"/>
      <c r="BS53" s="111"/>
      <c r="BT53" s="99"/>
      <c r="BU53" s="99"/>
      <c r="BV53" s="111"/>
      <c r="BW53" s="111"/>
      <c r="BX53" s="100"/>
      <c r="BY53" s="100"/>
      <c r="BZ53" s="112"/>
      <c r="CA53" s="292"/>
    </row>
    <row r="54" spans="55:79" ht="16.5" thickTop="1" thickBot="1">
      <c r="BC54" s="98" t="str">
        <f t="shared" ref="BC54:BC101" si="13">CONCATENATE(BD54,BG54)</f>
        <v>05</v>
      </c>
      <c r="BD54" s="78">
        <v>0</v>
      </c>
      <c r="BE54" s="72">
        <v>2.5</v>
      </c>
      <c r="BF54" s="72">
        <v>3</v>
      </c>
      <c r="BG54" s="73">
        <v>5</v>
      </c>
      <c r="BH54" s="86">
        <f>BH50</f>
        <v>50</v>
      </c>
      <c r="BI54" s="97">
        <v>0.75</v>
      </c>
      <c r="BJ54" s="89" t="s">
        <v>246</v>
      </c>
      <c r="BO54" s="104"/>
      <c r="BP54" s="104"/>
      <c r="BQ54" s="110"/>
      <c r="BR54" s="111"/>
      <c r="BS54" s="111"/>
      <c r="BT54" s="99"/>
      <c r="BU54" s="99"/>
      <c r="BV54" s="111"/>
      <c r="BW54" s="111"/>
      <c r="BX54" s="100"/>
      <c r="BY54" s="100"/>
      <c r="BZ54" s="112"/>
      <c r="CA54" s="89"/>
    </row>
    <row r="55" spans="55:79" ht="16.5" thickTop="1" thickBot="1">
      <c r="BC55" s="98" t="str">
        <f t="shared" si="13"/>
        <v>010</v>
      </c>
      <c r="BD55" s="78">
        <v>0</v>
      </c>
      <c r="BE55" s="72">
        <v>2.5</v>
      </c>
      <c r="BF55" s="72">
        <v>3</v>
      </c>
      <c r="BG55" s="73">
        <v>10</v>
      </c>
      <c r="BH55" s="86">
        <f>BH54</f>
        <v>50</v>
      </c>
      <c r="BI55" s="97">
        <v>0.75</v>
      </c>
      <c r="BJ55" s="89" t="s">
        <v>246</v>
      </c>
      <c r="BO55" s="104"/>
      <c r="BP55" s="104"/>
      <c r="BQ55" s="110"/>
      <c r="BR55" s="111"/>
      <c r="BS55" s="111"/>
      <c r="BT55" s="89"/>
      <c r="BU55" s="89"/>
      <c r="BV55" s="111"/>
      <c r="BW55" s="111"/>
      <c r="BX55" s="100"/>
      <c r="BY55" s="100"/>
      <c r="BZ55" s="112"/>
      <c r="CA55" s="292"/>
    </row>
    <row r="56" spans="55:79" ht="16.5" thickTop="1" thickBot="1">
      <c r="BC56" s="98" t="str">
        <f t="shared" si="13"/>
        <v>015</v>
      </c>
      <c r="BD56" s="78">
        <v>0</v>
      </c>
      <c r="BE56" s="72">
        <v>2.5</v>
      </c>
      <c r="BF56" s="72">
        <v>3</v>
      </c>
      <c r="BG56" s="73">
        <v>15</v>
      </c>
      <c r="BH56" s="86">
        <f t="shared" ref="BH56:BH101" si="14">BH55</f>
        <v>50</v>
      </c>
      <c r="BI56" s="97">
        <v>0.75</v>
      </c>
      <c r="BJ56" s="89" t="s">
        <v>246</v>
      </c>
      <c r="BO56" s="104"/>
      <c r="BP56" s="104"/>
      <c r="BQ56" s="110"/>
      <c r="BR56" s="111"/>
      <c r="BS56" s="111"/>
      <c r="BT56" s="89"/>
      <c r="BU56" s="89"/>
      <c r="BV56" s="111"/>
      <c r="BW56" s="111"/>
      <c r="BX56" s="100"/>
      <c r="BY56" s="100"/>
      <c r="BZ56" s="112"/>
      <c r="CA56" s="292"/>
    </row>
    <row r="57" spans="55:79" ht="16.5" thickTop="1" thickBot="1">
      <c r="BC57" s="98" t="str">
        <f t="shared" si="13"/>
        <v>020</v>
      </c>
      <c r="BD57" s="78">
        <v>0</v>
      </c>
      <c r="BE57" s="72">
        <v>2.5</v>
      </c>
      <c r="BF57" s="72">
        <v>3</v>
      </c>
      <c r="BG57" s="73">
        <v>20</v>
      </c>
      <c r="BH57" s="86">
        <f t="shared" si="14"/>
        <v>50</v>
      </c>
      <c r="BI57" s="97">
        <v>0.75</v>
      </c>
      <c r="BJ57" s="89" t="s">
        <v>246</v>
      </c>
      <c r="BO57" s="104"/>
      <c r="BP57" s="104"/>
      <c r="BQ57" s="110"/>
      <c r="BR57" s="111"/>
      <c r="BS57" s="111"/>
      <c r="BT57" s="89"/>
      <c r="BU57" s="89"/>
      <c r="BV57" s="111"/>
      <c r="BW57" s="111"/>
      <c r="BX57" s="100"/>
      <c r="BY57" s="100"/>
      <c r="BZ57" s="112"/>
      <c r="CA57" s="89"/>
    </row>
    <row r="58" spans="55:79" ht="16.5" thickTop="1" thickBot="1">
      <c r="BC58" s="98" t="str">
        <f t="shared" si="13"/>
        <v>025</v>
      </c>
      <c r="BD58" s="78">
        <v>0</v>
      </c>
      <c r="BE58" s="72">
        <v>2.5</v>
      </c>
      <c r="BF58" s="72">
        <v>3</v>
      </c>
      <c r="BG58" s="73">
        <v>25</v>
      </c>
      <c r="BH58" s="86">
        <f t="shared" si="14"/>
        <v>50</v>
      </c>
      <c r="BI58" s="97">
        <v>0.75</v>
      </c>
      <c r="BJ58" s="89" t="s">
        <v>246</v>
      </c>
      <c r="BO58" s="104"/>
      <c r="BP58" s="104"/>
      <c r="BQ58" s="110"/>
      <c r="BR58" s="111"/>
      <c r="BS58" s="111"/>
      <c r="BT58" s="89"/>
      <c r="BU58" s="89"/>
      <c r="BV58" s="111"/>
      <c r="BW58" s="111"/>
      <c r="BX58" s="100"/>
      <c r="BY58" s="100"/>
      <c r="BZ58" s="112"/>
      <c r="CA58" s="89"/>
    </row>
    <row r="59" spans="55:79" ht="16.5" thickTop="1" thickBot="1">
      <c r="BC59" s="98" t="str">
        <f t="shared" si="13"/>
        <v>030</v>
      </c>
      <c r="BD59" s="78">
        <v>0</v>
      </c>
      <c r="BE59" s="72">
        <v>2.5</v>
      </c>
      <c r="BF59" s="72">
        <v>3</v>
      </c>
      <c r="BG59" s="73">
        <v>30</v>
      </c>
      <c r="BH59" s="86">
        <f t="shared" si="14"/>
        <v>50</v>
      </c>
      <c r="BI59" s="97">
        <v>0.75</v>
      </c>
      <c r="BJ59" s="89" t="s">
        <v>246</v>
      </c>
    </row>
    <row r="60" spans="55:79" ht="16.5" thickTop="1" thickBot="1">
      <c r="BC60" s="98" t="str">
        <f t="shared" si="13"/>
        <v>035</v>
      </c>
      <c r="BD60" s="78">
        <v>0</v>
      </c>
      <c r="BE60" s="72">
        <v>2.5</v>
      </c>
      <c r="BF60" s="72">
        <v>3</v>
      </c>
      <c r="BG60" s="73">
        <v>35</v>
      </c>
      <c r="BH60" s="86">
        <f t="shared" si="14"/>
        <v>50</v>
      </c>
      <c r="BI60" s="97">
        <v>0.75</v>
      </c>
      <c r="BJ60" s="89" t="s">
        <v>246</v>
      </c>
    </row>
    <row r="61" spans="55:79" ht="16.5" thickTop="1" thickBot="1">
      <c r="BC61" s="98" t="str">
        <f t="shared" si="13"/>
        <v>040</v>
      </c>
      <c r="BD61" s="78">
        <v>0</v>
      </c>
      <c r="BE61" s="72">
        <v>2.5</v>
      </c>
      <c r="BF61" s="72">
        <v>3</v>
      </c>
      <c r="BG61" s="73">
        <v>40</v>
      </c>
      <c r="BH61" s="86">
        <f t="shared" si="14"/>
        <v>50</v>
      </c>
      <c r="BI61" s="97">
        <v>0.75</v>
      </c>
      <c r="BJ61" s="89" t="s">
        <v>246</v>
      </c>
    </row>
    <row r="62" spans="55:79" ht="16.5" thickTop="1" thickBot="1">
      <c r="BC62" s="98" t="str">
        <f t="shared" si="13"/>
        <v>15</v>
      </c>
      <c r="BD62" s="78">
        <v>1</v>
      </c>
      <c r="BE62" s="72">
        <v>3.01</v>
      </c>
      <c r="BF62" s="72">
        <v>4</v>
      </c>
      <c r="BG62" s="73">
        <v>5</v>
      </c>
      <c r="BH62" s="86">
        <f t="shared" si="14"/>
        <v>50</v>
      </c>
      <c r="BI62" s="97">
        <v>0.69</v>
      </c>
      <c r="BJ62" s="89" t="s">
        <v>253</v>
      </c>
    </row>
    <row r="63" spans="55:79" ht="16.5" thickTop="1" thickBot="1">
      <c r="BC63" s="98" t="str">
        <f t="shared" si="13"/>
        <v>110</v>
      </c>
      <c r="BD63" s="78">
        <v>1</v>
      </c>
      <c r="BE63" s="72">
        <v>3.01</v>
      </c>
      <c r="BF63" s="72">
        <v>4</v>
      </c>
      <c r="BG63" s="73">
        <v>10</v>
      </c>
      <c r="BH63" s="86">
        <f t="shared" si="14"/>
        <v>50</v>
      </c>
      <c r="BI63" s="97">
        <v>0.69</v>
      </c>
      <c r="BJ63" s="89" t="s">
        <v>253</v>
      </c>
    </row>
    <row r="64" spans="55:79" ht="16.5" thickTop="1" thickBot="1">
      <c r="BC64" s="98" t="str">
        <f t="shared" si="13"/>
        <v>115</v>
      </c>
      <c r="BD64" s="78">
        <v>1</v>
      </c>
      <c r="BE64" s="72">
        <v>3.01</v>
      </c>
      <c r="BF64" s="72">
        <v>4</v>
      </c>
      <c r="BG64" s="73">
        <v>15</v>
      </c>
      <c r="BH64" s="86">
        <f t="shared" si="14"/>
        <v>50</v>
      </c>
      <c r="BI64" s="97">
        <v>0.69</v>
      </c>
      <c r="BJ64" s="89" t="s">
        <v>253</v>
      </c>
    </row>
    <row r="65" spans="55:62" ht="16.5" thickTop="1" thickBot="1">
      <c r="BC65" s="98" t="str">
        <f t="shared" si="13"/>
        <v>120</v>
      </c>
      <c r="BD65" s="78">
        <v>1</v>
      </c>
      <c r="BE65" s="72">
        <v>3.01</v>
      </c>
      <c r="BF65" s="72">
        <v>4</v>
      </c>
      <c r="BG65" s="73">
        <v>20</v>
      </c>
      <c r="BH65" s="86">
        <f t="shared" si="14"/>
        <v>50</v>
      </c>
      <c r="BI65" s="97">
        <v>0.69</v>
      </c>
      <c r="BJ65" s="89" t="s">
        <v>253</v>
      </c>
    </row>
    <row r="66" spans="55:62" ht="16.5" thickTop="1" thickBot="1">
      <c r="BC66" s="98" t="str">
        <f t="shared" si="13"/>
        <v>125</v>
      </c>
      <c r="BD66" s="78">
        <v>1</v>
      </c>
      <c r="BE66" s="72">
        <v>3.01</v>
      </c>
      <c r="BF66" s="72">
        <v>4</v>
      </c>
      <c r="BG66" s="73">
        <v>25</v>
      </c>
      <c r="BH66" s="86">
        <f t="shared" si="14"/>
        <v>50</v>
      </c>
      <c r="BI66" s="97">
        <v>0.69</v>
      </c>
      <c r="BJ66" s="89" t="s">
        <v>253</v>
      </c>
    </row>
    <row r="67" spans="55:62" ht="16.5" thickTop="1" thickBot="1">
      <c r="BC67" s="98" t="str">
        <f t="shared" si="13"/>
        <v>130</v>
      </c>
      <c r="BD67" s="78">
        <v>1</v>
      </c>
      <c r="BE67" s="72">
        <v>3.01</v>
      </c>
      <c r="BF67" s="72">
        <v>4</v>
      </c>
      <c r="BG67" s="73">
        <v>30</v>
      </c>
      <c r="BH67" s="86">
        <f t="shared" si="14"/>
        <v>50</v>
      </c>
      <c r="BI67" s="97">
        <v>0.69</v>
      </c>
      <c r="BJ67" s="89" t="s">
        <v>253</v>
      </c>
    </row>
    <row r="68" spans="55:62" ht="16.5" thickTop="1" thickBot="1">
      <c r="BC68" s="98" t="str">
        <f t="shared" si="13"/>
        <v>135</v>
      </c>
      <c r="BD68" s="78">
        <v>1</v>
      </c>
      <c r="BE68" s="72">
        <v>3.01</v>
      </c>
      <c r="BF68" s="72">
        <v>4</v>
      </c>
      <c r="BG68" s="73">
        <v>35</v>
      </c>
      <c r="BH68" s="86">
        <f t="shared" si="14"/>
        <v>50</v>
      </c>
      <c r="BI68" s="97">
        <v>0.69</v>
      </c>
      <c r="BJ68" s="89" t="s">
        <v>253</v>
      </c>
    </row>
    <row r="69" spans="55:62" ht="16.5" thickTop="1" thickBot="1">
      <c r="BC69" s="98" t="str">
        <f t="shared" si="13"/>
        <v>140</v>
      </c>
      <c r="BD69" s="78">
        <v>1</v>
      </c>
      <c r="BE69" s="72">
        <v>3.01</v>
      </c>
      <c r="BF69" s="72">
        <v>4</v>
      </c>
      <c r="BG69" s="73">
        <v>40</v>
      </c>
      <c r="BH69" s="86">
        <f t="shared" si="14"/>
        <v>50</v>
      </c>
      <c r="BI69" s="97">
        <v>0.69</v>
      </c>
      <c r="BJ69" s="89" t="s">
        <v>253</v>
      </c>
    </row>
    <row r="70" spans="55:62" ht="16.5" thickTop="1" thickBot="1">
      <c r="BC70" s="98" t="str">
        <f t="shared" si="13"/>
        <v>25</v>
      </c>
      <c r="BD70" s="78">
        <v>2</v>
      </c>
      <c r="BE70" s="72">
        <v>4.01</v>
      </c>
      <c r="BF70" s="72">
        <v>5</v>
      </c>
      <c r="BG70" s="73">
        <v>5</v>
      </c>
      <c r="BH70" s="86">
        <f t="shared" si="14"/>
        <v>50</v>
      </c>
      <c r="BI70" s="97">
        <v>0.61</v>
      </c>
      <c r="BJ70" s="89" t="s">
        <v>249</v>
      </c>
    </row>
    <row r="71" spans="55:62" ht="16.5" thickTop="1" thickBot="1">
      <c r="BC71" s="98" t="str">
        <f t="shared" si="13"/>
        <v>210</v>
      </c>
      <c r="BD71" s="78">
        <v>2</v>
      </c>
      <c r="BE71" s="72">
        <v>4.01</v>
      </c>
      <c r="BF71" s="72">
        <v>5</v>
      </c>
      <c r="BG71" s="73">
        <v>10</v>
      </c>
      <c r="BH71" s="86">
        <f t="shared" si="14"/>
        <v>50</v>
      </c>
      <c r="BI71" s="97">
        <v>0.61</v>
      </c>
      <c r="BJ71" s="89" t="s">
        <v>249</v>
      </c>
    </row>
    <row r="72" spans="55:62" ht="16.5" thickTop="1" thickBot="1">
      <c r="BC72" s="98" t="str">
        <f t="shared" si="13"/>
        <v>215</v>
      </c>
      <c r="BD72" s="78">
        <v>2</v>
      </c>
      <c r="BE72" s="72">
        <v>4.01</v>
      </c>
      <c r="BF72" s="72">
        <v>5</v>
      </c>
      <c r="BG72" s="73">
        <v>15</v>
      </c>
      <c r="BH72" s="86">
        <f t="shared" si="14"/>
        <v>50</v>
      </c>
      <c r="BI72" s="97">
        <v>0.61</v>
      </c>
      <c r="BJ72" s="89" t="s">
        <v>249</v>
      </c>
    </row>
    <row r="73" spans="55:62" ht="16.5" thickTop="1" thickBot="1">
      <c r="BC73" s="98" t="str">
        <f t="shared" si="13"/>
        <v>220</v>
      </c>
      <c r="BD73" s="78">
        <v>2</v>
      </c>
      <c r="BE73" s="72">
        <v>4.01</v>
      </c>
      <c r="BF73" s="72">
        <v>5</v>
      </c>
      <c r="BG73" s="73">
        <v>20</v>
      </c>
      <c r="BH73" s="86">
        <f t="shared" si="14"/>
        <v>50</v>
      </c>
      <c r="BI73" s="97">
        <v>0.61</v>
      </c>
      <c r="BJ73" s="89" t="s">
        <v>249</v>
      </c>
    </row>
    <row r="74" spans="55:62" ht="16.5" thickTop="1" thickBot="1">
      <c r="BC74" s="98" t="str">
        <f t="shared" si="13"/>
        <v>225</v>
      </c>
      <c r="BD74" s="78">
        <v>2</v>
      </c>
      <c r="BE74" s="72">
        <v>4.01</v>
      </c>
      <c r="BF74" s="72">
        <v>5</v>
      </c>
      <c r="BG74" s="73">
        <v>25</v>
      </c>
      <c r="BH74" s="86">
        <f t="shared" si="14"/>
        <v>50</v>
      </c>
      <c r="BI74" s="97">
        <v>0.61</v>
      </c>
      <c r="BJ74" s="89" t="s">
        <v>249</v>
      </c>
    </row>
    <row r="75" spans="55:62" ht="16.5" thickTop="1" thickBot="1">
      <c r="BC75" s="98" t="str">
        <f t="shared" si="13"/>
        <v>230</v>
      </c>
      <c r="BD75" s="78">
        <v>2</v>
      </c>
      <c r="BE75" s="72">
        <v>4.01</v>
      </c>
      <c r="BF75" s="72">
        <v>5</v>
      </c>
      <c r="BG75" s="73">
        <v>30</v>
      </c>
      <c r="BH75" s="86">
        <f t="shared" si="14"/>
        <v>50</v>
      </c>
      <c r="BI75" s="97">
        <v>0.61</v>
      </c>
      <c r="BJ75" s="89" t="s">
        <v>249</v>
      </c>
    </row>
    <row r="76" spans="55:62" ht="16.5" thickTop="1" thickBot="1">
      <c r="BC76" s="98" t="str">
        <f t="shared" si="13"/>
        <v>235</v>
      </c>
      <c r="BD76" s="78">
        <v>2</v>
      </c>
      <c r="BE76" s="72">
        <v>4.01</v>
      </c>
      <c r="BF76" s="72">
        <v>5</v>
      </c>
      <c r="BG76" s="73">
        <v>35</v>
      </c>
      <c r="BH76" s="86">
        <f t="shared" si="14"/>
        <v>50</v>
      </c>
      <c r="BI76" s="97">
        <v>0.61</v>
      </c>
      <c r="BJ76" s="89" t="s">
        <v>249</v>
      </c>
    </row>
    <row r="77" spans="55:62" ht="16.5" thickTop="1" thickBot="1">
      <c r="BC77" s="98" t="str">
        <f t="shared" si="13"/>
        <v>240</v>
      </c>
      <c r="BD77" s="78">
        <v>2</v>
      </c>
      <c r="BE77" s="72">
        <v>4.01</v>
      </c>
      <c r="BF77" s="72">
        <v>5</v>
      </c>
      <c r="BG77" s="73">
        <v>40</v>
      </c>
      <c r="BH77" s="86">
        <f t="shared" si="14"/>
        <v>50</v>
      </c>
      <c r="BI77" s="97">
        <v>0.61</v>
      </c>
      <c r="BJ77" s="89" t="s">
        <v>249</v>
      </c>
    </row>
    <row r="78" spans="55:62" ht="16.5" thickTop="1" thickBot="1">
      <c r="BC78" s="98" t="str">
        <f t="shared" si="13"/>
        <v>35</v>
      </c>
      <c r="BD78" s="78">
        <v>3</v>
      </c>
      <c r="BE78" s="72">
        <v>5.01</v>
      </c>
      <c r="BF78" s="72">
        <v>5.5</v>
      </c>
      <c r="BG78" s="73">
        <v>5</v>
      </c>
      <c r="BH78" s="86">
        <f t="shared" si="14"/>
        <v>50</v>
      </c>
      <c r="BI78" s="97">
        <v>0.56999999999999995</v>
      </c>
      <c r="BJ78" s="89" t="s">
        <v>254</v>
      </c>
    </row>
    <row r="79" spans="55:62" ht="16.5" thickTop="1" thickBot="1">
      <c r="BC79" s="98" t="str">
        <f t="shared" si="13"/>
        <v>310</v>
      </c>
      <c r="BD79" s="78">
        <v>3</v>
      </c>
      <c r="BE79" s="72">
        <v>5.01</v>
      </c>
      <c r="BF79" s="72">
        <v>5.5</v>
      </c>
      <c r="BG79" s="73">
        <v>10</v>
      </c>
      <c r="BH79" s="86">
        <f t="shared" si="14"/>
        <v>50</v>
      </c>
      <c r="BI79" s="97">
        <v>0.56999999999999995</v>
      </c>
      <c r="BJ79" s="89" t="s">
        <v>254</v>
      </c>
    </row>
    <row r="80" spans="55:62" ht="16.5" thickTop="1" thickBot="1">
      <c r="BC80" s="98" t="str">
        <f t="shared" si="13"/>
        <v>315</v>
      </c>
      <c r="BD80" s="78">
        <v>3</v>
      </c>
      <c r="BE80" s="72">
        <v>5.01</v>
      </c>
      <c r="BF80" s="72">
        <v>5.5</v>
      </c>
      <c r="BG80" s="73">
        <v>15</v>
      </c>
      <c r="BH80" s="86">
        <f t="shared" si="14"/>
        <v>50</v>
      </c>
      <c r="BI80" s="97">
        <v>0.56999999999999995</v>
      </c>
      <c r="BJ80" s="89" t="s">
        <v>254</v>
      </c>
    </row>
    <row r="81" spans="55:62" ht="16.5" thickTop="1" thickBot="1">
      <c r="BC81" s="98" t="str">
        <f t="shared" si="13"/>
        <v>320</v>
      </c>
      <c r="BD81" s="78">
        <v>3</v>
      </c>
      <c r="BE81" s="72">
        <v>5.01</v>
      </c>
      <c r="BF81" s="72">
        <v>5.5</v>
      </c>
      <c r="BG81" s="73">
        <v>20</v>
      </c>
      <c r="BH81" s="86">
        <f t="shared" si="14"/>
        <v>50</v>
      </c>
      <c r="BI81" s="97">
        <v>0.56999999999999995</v>
      </c>
      <c r="BJ81" s="89" t="s">
        <v>254</v>
      </c>
    </row>
    <row r="82" spans="55:62" ht="16.5" thickTop="1" thickBot="1">
      <c r="BC82" s="98" t="str">
        <f t="shared" si="13"/>
        <v>325</v>
      </c>
      <c r="BD82" s="78">
        <v>3</v>
      </c>
      <c r="BE82" s="72">
        <v>5.01</v>
      </c>
      <c r="BF82" s="72">
        <v>5.5</v>
      </c>
      <c r="BG82" s="73">
        <v>25</v>
      </c>
      <c r="BH82" s="86">
        <f t="shared" si="14"/>
        <v>50</v>
      </c>
      <c r="BI82" s="97">
        <v>0.56999999999999995</v>
      </c>
      <c r="BJ82" s="89" t="s">
        <v>254</v>
      </c>
    </row>
    <row r="83" spans="55:62" ht="16.5" thickTop="1" thickBot="1">
      <c r="BC83" s="98" t="str">
        <f t="shared" si="13"/>
        <v>330</v>
      </c>
      <c r="BD83" s="78">
        <v>3</v>
      </c>
      <c r="BE83" s="72">
        <v>5.01</v>
      </c>
      <c r="BF83" s="72">
        <v>5.5</v>
      </c>
      <c r="BG83" s="73">
        <v>30</v>
      </c>
      <c r="BH83" s="86">
        <f t="shared" si="14"/>
        <v>50</v>
      </c>
      <c r="BI83" s="97">
        <v>0.56999999999999995</v>
      </c>
      <c r="BJ83" s="89" t="s">
        <v>254</v>
      </c>
    </row>
    <row r="84" spans="55:62" ht="16.5" thickTop="1" thickBot="1">
      <c r="BC84" s="98" t="str">
        <f t="shared" si="13"/>
        <v>335</v>
      </c>
      <c r="BD84" s="78">
        <v>3</v>
      </c>
      <c r="BE84" s="72">
        <v>5.01</v>
      </c>
      <c r="BF84" s="72">
        <v>5.5</v>
      </c>
      <c r="BG84" s="73">
        <v>35</v>
      </c>
      <c r="BH84" s="86">
        <f t="shared" si="14"/>
        <v>50</v>
      </c>
      <c r="BI84" s="97">
        <v>0.56999999999999995</v>
      </c>
      <c r="BJ84" s="89" t="s">
        <v>254</v>
      </c>
    </row>
    <row r="85" spans="55:62" ht="16.5" thickTop="1" thickBot="1">
      <c r="BC85" s="98" t="str">
        <f t="shared" si="13"/>
        <v>340</v>
      </c>
      <c r="BD85" s="78">
        <v>3</v>
      </c>
      <c r="BE85" s="72">
        <v>5.01</v>
      </c>
      <c r="BF85" s="72">
        <v>5.5</v>
      </c>
      <c r="BG85" s="73">
        <v>40</v>
      </c>
      <c r="BH85" s="86">
        <f t="shared" si="14"/>
        <v>50</v>
      </c>
      <c r="BI85" s="97">
        <v>0.56999999999999995</v>
      </c>
      <c r="BJ85" s="89" t="s">
        <v>254</v>
      </c>
    </row>
    <row r="86" spans="55:62" ht="16.5" thickTop="1" thickBot="1">
      <c r="BC86" s="98" t="str">
        <f t="shared" si="13"/>
        <v>45</v>
      </c>
      <c r="BD86" s="78">
        <v>4</v>
      </c>
      <c r="BE86" s="72">
        <v>5.51</v>
      </c>
      <c r="BF86" s="72">
        <v>6</v>
      </c>
      <c r="BG86" s="73">
        <v>5</v>
      </c>
      <c r="BH86" s="86">
        <f t="shared" si="14"/>
        <v>50</v>
      </c>
      <c r="BI86" s="97">
        <v>0.56999999999999995</v>
      </c>
      <c r="BJ86" s="89" t="s">
        <v>251</v>
      </c>
    </row>
    <row r="87" spans="55:62" ht="16.5" thickTop="1" thickBot="1">
      <c r="BC87" s="98" t="str">
        <f t="shared" si="13"/>
        <v>410</v>
      </c>
      <c r="BD87" s="78">
        <v>4</v>
      </c>
      <c r="BE87" s="72">
        <v>5.51</v>
      </c>
      <c r="BF87" s="72">
        <v>6</v>
      </c>
      <c r="BG87" s="73">
        <v>10</v>
      </c>
      <c r="BH87" s="86">
        <f t="shared" si="14"/>
        <v>50</v>
      </c>
      <c r="BI87" s="97">
        <v>0.54</v>
      </c>
      <c r="BJ87" s="89" t="s">
        <v>251</v>
      </c>
    </row>
    <row r="88" spans="55:62" ht="16.5" thickTop="1" thickBot="1">
      <c r="BC88" s="98" t="str">
        <f t="shared" si="13"/>
        <v>415</v>
      </c>
      <c r="BD88" s="78">
        <v>4</v>
      </c>
      <c r="BE88" s="72">
        <v>5.51</v>
      </c>
      <c r="BF88" s="72">
        <v>6</v>
      </c>
      <c r="BG88" s="73">
        <v>15</v>
      </c>
      <c r="BH88" s="86">
        <f t="shared" si="14"/>
        <v>50</v>
      </c>
      <c r="BI88" s="97">
        <v>0.54</v>
      </c>
      <c r="BJ88" s="89" t="s">
        <v>251</v>
      </c>
    </row>
    <row r="89" spans="55:62" ht="16.5" thickTop="1" thickBot="1">
      <c r="BC89" s="98" t="str">
        <f t="shared" si="13"/>
        <v>420</v>
      </c>
      <c r="BD89" s="78">
        <v>4</v>
      </c>
      <c r="BE89" s="72">
        <v>5.51</v>
      </c>
      <c r="BF89" s="72">
        <v>6</v>
      </c>
      <c r="BG89" s="73">
        <v>20</v>
      </c>
      <c r="BH89" s="86">
        <f t="shared" si="14"/>
        <v>50</v>
      </c>
      <c r="BI89" s="97">
        <v>0.54</v>
      </c>
      <c r="BJ89" s="89" t="s">
        <v>251</v>
      </c>
    </row>
    <row r="90" spans="55:62" ht="16.5" thickTop="1" thickBot="1">
      <c r="BC90" s="98" t="str">
        <f t="shared" si="13"/>
        <v>425</v>
      </c>
      <c r="BD90" s="78">
        <v>4</v>
      </c>
      <c r="BE90" s="72">
        <v>5.51</v>
      </c>
      <c r="BF90" s="72">
        <v>6</v>
      </c>
      <c r="BG90" s="73">
        <v>25</v>
      </c>
      <c r="BH90" s="86">
        <f t="shared" si="14"/>
        <v>50</v>
      </c>
      <c r="BI90" s="97">
        <v>0.54</v>
      </c>
      <c r="BJ90" s="89" t="s">
        <v>251</v>
      </c>
    </row>
    <row r="91" spans="55:62" ht="16.5" thickTop="1" thickBot="1">
      <c r="BC91" s="98" t="str">
        <f t="shared" si="13"/>
        <v>430</v>
      </c>
      <c r="BD91" s="78">
        <v>4</v>
      </c>
      <c r="BE91" s="72">
        <v>5.51</v>
      </c>
      <c r="BF91" s="72">
        <v>6</v>
      </c>
      <c r="BG91" s="73">
        <v>30</v>
      </c>
      <c r="BH91" s="86">
        <f t="shared" si="14"/>
        <v>50</v>
      </c>
      <c r="BI91" s="97">
        <v>0.54</v>
      </c>
      <c r="BJ91" s="89" t="s">
        <v>251</v>
      </c>
    </row>
    <row r="92" spans="55:62" ht="16.5" thickTop="1" thickBot="1">
      <c r="BC92" s="98" t="str">
        <f t="shared" si="13"/>
        <v>435</v>
      </c>
      <c r="BD92" s="78">
        <v>4</v>
      </c>
      <c r="BE92" s="72">
        <v>5.51</v>
      </c>
      <c r="BF92" s="72">
        <v>6</v>
      </c>
      <c r="BG92" s="73">
        <v>35</v>
      </c>
      <c r="BH92" s="86">
        <f t="shared" si="14"/>
        <v>50</v>
      </c>
      <c r="BI92" s="97">
        <v>0.54</v>
      </c>
      <c r="BJ92" s="89" t="s">
        <v>251</v>
      </c>
    </row>
    <row r="93" spans="55:62" ht="16.5" thickTop="1" thickBot="1">
      <c r="BC93" s="98" t="str">
        <f t="shared" si="13"/>
        <v>440</v>
      </c>
      <c r="BD93" s="78">
        <v>4</v>
      </c>
      <c r="BE93" s="72">
        <v>5.51</v>
      </c>
      <c r="BF93" s="72">
        <v>6</v>
      </c>
      <c r="BG93" s="73">
        <v>40</v>
      </c>
      <c r="BH93" s="86">
        <f t="shared" si="14"/>
        <v>50</v>
      </c>
      <c r="BI93" s="97">
        <v>0.54</v>
      </c>
      <c r="BJ93" s="89" t="s">
        <v>251</v>
      </c>
    </row>
    <row r="94" spans="55:62" ht="16.5" thickTop="1" thickBot="1">
      <c r="BC94" s="98" t="str">
        <f t="shared" si="13"/>
        <v>55</v>
      </c>
      <c r="BD94" s="78">
        <v>5</v>
      </c>
      <c r="BE94" s="72">
        <v>6.01</v>
      </c>
      <c r="BF94" s="72">
        <v>7</v>
      </c>
      <c r="BG94" s="73">
        <v>5</v>
      </c>
      <c r="BH94" s="86">
        <f t="shared" si="14"/>
        <v>50</v>
      </c>
      <c r="BI94" s="97">
        <v>0.54</v>
      </c>
      <c r="BJ94" s="89" t="s">
        <v>251</v>
      </c>
    </row>
    <row r="95" spans="55:62" ht="16.5" thickTop="1" thickBot="1">
      <c r="BC95" s="98" t="str">
        <f t="shared" si="13"/>
        <v>510</v>
      </c>
      <c r="BD95" s="78">
        <v>5</v>
      </c>
      <c r="BE95" s="72">
        <v>6.01</v>
      </c>
      <c r="BF95" s="72">
        <v>7</v>
      </c>
      <c r="BG95" s="73">
        <v>10</v>
      </c>
      <c r="BH95" s="86">
        <f t="shared" si="14"/>
        <v>50</v>
      </c>
      <c r="BI95" s="97">
        <v>0.54</v>
      </c>
      <c r="BJ95" s="89" t="s">
        <v>251</v>
      </c>
    </row>
    <row r="96" spans="55:62" ht="16.5" thickTop="1" thickBot="1">
      <c r="BC96" s="98" t="str">
        <f t="shared" si="13"/>
        <v>515</v>
      </c>
      <c r="BD96" s="78">
        <v>5</v>
      </c>
      <c r="BE96" s="72">
        <v>6.01</v>
      </c>
      <c r="BF96" s="72">
        <v>7</v>
      </c>
      <c r="BG96" s="73">
        <v>15</v>
      </c>
      <c r="BH96" s="86">
        <f t="shared" si="14"/>
        <v>50</v>
      </c>
      <c r="BI96" s="97">
        <v>0.54</v>
      </c>
      <c r="BJ96" s="89" t="s">
        <v>251</v>
      </c>
    </row>
    <row r="97" spans="55:62" ht="16.5" thickTop="1" thickBot="1">
      <c r="BC97" s="98" t="str">
        <f t="shared" si="13"/>
        <v>520</v>
      </c>
      <c r="BD97" s="78">
        <v>5</v>
      </c>
      <c r="BE97" s="72">
        <v>6.01</v>
      </c>
      <c r="BF97" s="72">
        <v>7</v>
      </c>
      <c r="BG97" s="73">
        <v>20</v>
      </c>
      <c r="BH97" s="86">
        <f t="shared" si="14"/>
        <v>50</v>
      </c>
      <c r="BI97" s="97">
        <v>0.54</v>
      </c>
      <c r="BJ97" s="89" t="s">
        <v>251</v>
      </c>
    </row>
    <row r="98" spans="55:62" ht="16.5" thickTop="1" thickBot="1">
      <c r="BC98" s="98" t="str">
        <f t="shared" si="13"/>
        <v>525</v>
      </c>
      <c r="BD98" s="78">
        <v>5</v>
      </c>
      <c r="BE98" s="72">
        <v>6.01</v>
      </c>
      <c r="BF98" s="72">
        <v>7</v>
      </c>
      <c r="BG98" s="73">
        <v>25</v>
      </c>
      <c r="BH98" s="86">
        <f t="shared" si="14"/>
        <v>50</v>
      </c>
      <c r="BI98" s="97">
        <v>0.54</v>
      </c>
      <c r="BJ98" s="89" t="s">
        <v>251</v>
      </c>
    </row>
    <row r="99" spans="55:62" ht="16.5" thickTop="1" thickBot="1">
      <c r="BC99" s="98" t="str">
        <f t="shared" si="13"/>
        <v>530</v>
      </c>
      <c r="BD99" s="78">
        <v>5</v>
      </c>
      <c r="BE99" s="72">
        <v>6.01</v>
      </c>
      <c r="BF99" s="72">
        <v>7</v>
      </c>
      <c r="BG99" s="73">
        <v>30</v>
      </c>
      <c r="BH99" s="86">
        <f t="shared" si="14"/>
        <v>50</v>
      </c>
      <c r="BI99" s="97">
        <v>0.54</v>
      </c>
      <c r="BJ99" s="89" t="s">
        <v>251</v>
      </c>
    </row>
    <row r="100" spans="55:62" ht="16.5" thickTop="1" thickBot="1">
      <c r="BC100" s="98" t="str">
        <f t="shared" si="13"/>
        <v>535</v>
      </c>
      <c r="BD100" s="78">
        <v>5</v>
      </c>
      <c r="BE100" s="72">
        <v>6.01</v>
      </c>
      <c r="BF100" s="72">
        <v>7</v>
      </c>
      <c r="BG100" s="73">
        <v>35</v>
      </c>
      <c r="BH100" s="86">
        <f t="shared" si="14"/>
        <v>50</v>
      </c>
      <c r="BI100" s="97">
        <v>0.54</v>
      </c>
      <c r="BJ100" s="89" t="s">
        <v>251</v>
      </c>
    </row>
    <row r="101" spans="55:62" ht="16.5" thickTop="1" thickBot="1">
      <c r="BC101" s="98" t="str">
        <f t="shared" si="13"/>
        <v>540</v>
      </c>
      <c r="BD101" s="78">
        <v>5</v>
      </c>
      <c r="BE101" s="72">
        <v>6.01</v>
      </c>
      <c r="BF101" s="72">
        <v>7</v>
      </c>
      <c r="BG101" s="73">
        <v>40</v>
      </c>
      <c r="BH101" s="86">
        <f t="shared" si="14"/>
        <v>50</v>
      </c>
      <c r="BI101" s="97">
        <v>0.54</v>
      </c>
      <c r="BJ101" s="89" t="s">
        <v>251</v>
      </c>
    </row>
    <row r="102" spans="55:62" ht="15" thickTop="1"/>
  </sheetData>
  <mergeCells count="5">
    <mergeCell ref="AS3:AS4"/>
    <mergeCell ref="BT40:BU40"/>
    <mergeCell ref="BX40:BY40"/>
    <mergeCell ref="BT52:BU52"/>
    <mergeCell ref="BX52:BY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H1:CA102"/>
  <sheetViews>
    <sheetView zoomScaleNormal="100" workbookViewId="0">
      <selection activeCell="F14" sqref="F14"/>
    </sheetView>
  </sheetViews>
  <sheetFormatPr defaultRowHeight="14.25"/>
  <cols>
    <col min="55" max="55" width="14.875" bestFit="1" customWidth="1"/>
    <col min="56" max="56" width="5.875" bestFit="1" customWidth="1"/>
    <col min="57" max="57" width="7.375" customWidth="1"/>
    <col min="58" max="58" width="7.125" customWidth="1"/>
    <col min="59" max="59" width="11.875" customWidth="1"/>
    <col min="60" max="60" width="26.625" bestFit="1" customWidth="1"/>
    <col min="61" max="61" width="10.625" bestFit="1" customWidth="1"/>
    <col min="62" max="62" width="20.125" customWidth="1"/>
    <col min="63" max="63" width="11" customWidth="1"/>
    <col min="64" max="64" width="6.875" bestFit="1" customWidth="1"/>
    <col min="65" max="65" width="8.75" bestFit="1" customWidth="1"/>
    <col min="66" max="66" width="12" bestFit="1" customWidth="1"/>
    <col min="67" max="67" width="10.875" bestFit="1" customWidth="1"/>
    <col min="68" max="68" width="7.625" customWidth="1"/>
    <col min="69" max="69" width="9.375" bestFit="1" customWidth="1"/>
    <col min="70" max="70" width="18.875" bestFit="1" customWidth="1"/>
    <col min="71" max="71" width="15.125" bestFit="1" customWidth="1"/>
    <col min="72" max="72" width="9.375" bestFit="1" customWidth="1"/>
    <col min="73" max="73" width="8.875" customWidth="1"/>
    <col min="74" max="74" width="14.625" bestFit="1" customWidth="1"/>
    <col min="75" max="75" width="15.125" bestFit="1" customWidth="1"/>
    <col min="76" max="76" width="8.75" customWidth="1"/>
    <col min="77" max="77" width="7.75" customWidth="1"/>
    <col min="78" max="78" width="24.375" bestFit="1" customWidth="1"/>
    <col min="79" max="79" width="12.75" bestFit="1" customWidth="1"/>
  </cols>
  <sheetData>
    <row r="1" spans="34:79" ht="15" thickBot="1"/>
    <row r="2" spans="34:79" ht="40.5" customHeight="1" thickTop="1" thickBot="1">
      <c r="BC2" s="71" t="s">
        <v>188</v>
      </c>
      <c r="BD2" s="71" t="s">
        <v>189</v>
      </c>
      <c r="BE2" s="71" t="s">
        <v>190</v>
      </c>
      <c r="BF2" s="71" t="s">
        <v>191</v>
      </c>
      <c r="BG2" s="71" t="s">
        <v>192</v>
      </c>
      <c r="BH2" s="71" t="s">
        <v>193</v>
      </c>
      <c r="BI2" s="78" t="s">
        <v>194</v>
      </c>
      <c r="BJ2" s="92" t="s">
        <v>195</v>
      </c>
      <c r="BK2" s="74" t="s">
        <v>196</v>
      </c>
      <c r="BL2" s="74" t="s">
        <v>197</v>
      </c>
      <c r="BM2" s="74" t="s">
        <v>198</v>
      </c>
      <c r="BN2" s="74" t="s">
        <v>199</v>
      </c>
      <c r="BO2" s="74" t="s">
        <v>200</v>
      </c>
      <c r="BQ2" s="133" t="s">
        <v>189</v>
      </c>
      <c r="BR2" s="131" t="s">
        <v>201</v>
      </c>
      <c r="BS2" t="s">
        <v>202</v>
      </c>
      <c r="BT2" t="s">
        <v>203</v>
      </c>
      <c r="BU2" t="s">
        <v>204</v>
      </c>
      <c r="BV2" t="s">
        <v>89</v>
      </c>
      <c r="BZ2" s="79" t="s">
        <v>205</v>
      </c>
      <c r="CA2" s="80">
        <f>IF(AND(Robybet!$I$5&gt;='..'!BO41,Robybet!$I$5&lt;='..'!BP41),$BQ41,IF(AND(Robybet!$I$5&gt;='..'!BO42,Robybet!$I$5&lt;='..'!BP42),$BQ42,IF(AND(Robybet!$I$5&gt;='..'!BO43,Robybet!$I$5&lt;='..'!BP43),$BQ43,IF(AND(Robybet!$I$5&gt;='..'!BO44,Robybet!$I$5&lt;='..'!BP44),$BQ44,IF(AND(Robybet!$I$5&gt;='..'!BO45,Robybet!$I$5&lt;='..'!BP45),$BQ45,IF(AND(Robybet!$I$5&gt;='..'!BO46,Robybet!$I$5&lt;='..'!BP46),$BQ46))))))</f>
        <v>4</v>
      </c>
    </row>
    <row r="3" spans="34:79" ht="16.5" thickTop="1" thickBot="1"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700" t="s">
        <v>206</v>
      </c>
      <c r="AT3" s="1"/>
      <c r="AU3" s="1"/>
      <c r="BC3" s="98" t="str">
        <f t="shared" ref="BC3:BC11" si="0">CONCATENATE(BD3,BG3)</f>
        <v>05</v>
      </c>
      <c r="BD3" s="78">
        <v>0</v>
      </c>
      <c r="BE3" s="72">
        <v>2.5</v>
      </c>
      <c r="BF3" s="72">
        <v>3</v>
      </c>
      <c r="BG3" s="73">
        <v>5</v>
      </c>
      <c r="BH3" s="86">
        <v>30</v>
      </c>
      <c r="BI3" s="96">
        <v>0.86</v>
      </c>
      <c r="BJ3" s="91" t="s">
        <v>207</v>
      </c>
      <c r="BK3" s="75">
        <v>1</v>
      </c>
      <c r="BL3" s="83">
        <v>1</v>
      </c>
      <c r="BM3" s="75" t="s">
        <v>136</v>
      </c>
      <c r="BN3" s="76">
        <v>4.4999999999999998E-2</v>
      </c>
      <c r="BO3" s="76">
        <v>0.2</v>
      </c>
      <c r="BQ3">
        <f t="shared" ref="BQ3:BQ10" si="1">BS3</f>
        <v>0</v>
      </c>
      <c r="BR3" s="132" t="str">
        <f>IF(AND('..'!AU5&lt;=$BO$3,'..'!AU5&gt;0),'..'!AH5,"")</f>
        <v/>
      </c>
      <c r="BS3">
        <f>IF(BR3="",0,1)</f>
        <v>0</v>
      </c>
      <c r="BT3">
        <f>IFERROR(IF(BS3&lt;&gt;0,BR3,IF(BS4&lt;&gt;0,BR4,IF(BS5&lt;&gt;0,BR5,IF(BS6&lt;&gt;0,BR6,IF(BS7&lt;&gt;0,BR7,IF(BS8&lt;&gt;0,BR8,IF(BS9&lt;&gt;0,BR9,IF(BS10&lt;&gt;0,BR10,"")))))))),"")</f>
        <v>10</v>
      </c>
      <c r="BU3">
        <f>IFERROR(VLOOKUP(BT3,$BR$3:$BS$10,2,FALSE),0)</f>
        <v>1</v>
      </c>
      <c r="BV3" s="134">
        <f>IFERROR(VLOOKUP(BT3,'..'!$AH$3:$AU$12,14,FALSE),"")</f>
        <v>0.13008333333333333</v>
      </c>
      <c r="BZ3" s="79" t="s">
        <v>208</v>
      </c>
      <c r="CA3" s="84">
        <f>Robybet!I4</f>
        <v>2</v>
      </c>
    </row>
    <row r="4" spans="34:79" ht="16.5" thickTop="1" thickBot="1">
      <c r="AH4" s="127" t="s">
        <v>209</v>
      </c>
      <c r="AI4" s="127" t="s">
        <v>210</v>
      </c>
      <c r="AJ4" s="127" t="s">
        <v>211</v>
      </c>
      <c r="AK4" s="127" t="s">
        <v>212</v>
      </c>
      <c r="AL4" s="127" t="s">
        <v>213</v>
      </c>
      <c r="AM4" s="127" t="s">
        <v>214</v>
      </c>
      <c r="AN4" s="127" t="s">
        <v>215</v>
      </c>
      <c r="AO4" s="127" t="s">
        <v>216</v>
      </c>
      <c r="AP4" s="127" t="s">
        <v>217</v>
      </c>
      <c r="AQ4" s="127" t="s">
        <v>211</v>
      </c>
      <c r="AR4" s="128" t="s">
        <v>218</v>
      </c>
      <c r="AS4" s="700"/>
      <c r="AT4" s="129" t="s">
        <v>219</v>
      </c>
      <c r="AU4" s="127" t="s">
        <v>89</v>
      </c>
      <c r="BC4" s="98" t="str">
        <f t="shared" si="0"/>
        <v>010</v>
      </c>
      <c r="BD4" s="78">
        <v>0</v>
      </c>
      <c r="BE4" s="72">
        <v>2.5</v>
      </c>
      <c r="BF4" s="72">
        <v>3</v>
      </c>
      <c r="BG4" s="73">
        <v>10</v>
      </c>
      <c r="BH4" s="86">
        <v>30</v>
      </c>
      <c r="BI4" s="96">
        <v>0.86</v>
      </c>
      <c r="BJ4" s="91" t="s">
        <v>207</v>
      </c>
      <c r="BK4" s="75" t="s">
        <v>220</v>
      </c>
      <c r="BL4" s="83">
        <v>1</v>
      </c>
      <c r="BM4" s="75" t="s">
        <v>221</v>
      </c>
      <c r="BN4" s="76">
        <v>0.05</v>
      </c>
      <c r="BQ4">
        <f t="shared" si="1"/>
        <v>1</v>
      </c>
      <c r="BR4" s="132">
        <f>IF(AND('..'!AU6&lt;=$BO$3,'..'!AU6&gt;0),'..'!AH6,"")</f>
        <v>10</v>
      </c>
      <c r="BS4">
        <f t="shared" ref="BS4:BS10" si="2">IF(BR4="",0,1+BS3)</f>
        <v>1</v>
      </c>
      <c r="BT4">
        <f>IFERROR(IF(BU3&lt;&gt;0,VLOOKUP(BU3+1,BQ4:BR10,2,FALSE),IF(BS4&lt;&gt;0,BR4,IF(BS5&lt;&gt;0,BR5,IF(BS6&lt;&gt;0,BR6,IF(BS7&lt;&gt;0,BR7,IF(BS8&lt;&gt;0,BR8,IF(BS9&lt;&gt;0,BR9,IF(BS10&lt;&gt;0,BR10,"")))))))),"")</f>
        <v>15</v>
      </c>
      <c r="BU4">
        <f t="shared" ref="BU4:BU10" si="3">IFERROR(VLOOKUP(BT4,$BR$3:$BS$10,2,FALSE),0)</f>
        <v>2</v>
      </c>
      <c r="BV4" s="134">
        <f>IFERROR(VLOOKUP(BT4,'..'!$AH$3:$AU$12,14,FALSE),"")</f>
        <v>1.8666666666666623E-2</v>
      </c>
      <c r="BZ4" s="79" t="s">
        <v>222</v>
      </c>
      <c r="CA4" s="81">
        <f>Robybet!I6</f>
        <v>10</v>
      </c>
    </row>
    <row r="5" spans="34:79" ht="16.5" thickTop="1" thickBot="1">
      <c r="AH5" s="124">
        <v>5</v>
      </c>
      <c r="AI5" s="126">
        <f>Robybet!$I$5</f>
        <v>6</v>
      </c>
      <c r="AJ5" s="125">
        <f t="shared" ref="AJ5:AJ12" si="4">AH5*(AI5-1)</f>
        <v>25</v>
      </c>
      <c r="AK5" s="124">
        <f t="shared" ref="AK5:AK12" si="5">(AH5*AI5)+AM5</f>
        <v>60</v>
      </c>
      <c r="AL5" s="126">
        <f>Robybet!$P$5</f>
        <v>7</v>
      </c>
      <c r="AM5" s="124">
        <f>Robybet!$P$9</f>
        <v>30</v>
      </c>
      <c r="AN5" s="130">
        <f>Robybet!$I$11</f>
        <v>0.7</v>
      </c>
      <c r="AO5" s="124">
        <f t="shared" ref="AO5:AO12" si="6">AM5*(1-AN5)</f>
        <v>9.0000000000000018</v>
      </c>
      <c r="AP5" s="125">
        <f t="shared" ref="AP5:AP12" si="7">AH5*(((AK5-AO5)/AH5)-1)/(AL5-1)</f>
        <v>7.666666666666667</v>
      </c>
      <c r="AQ5" s="125">
        <f>AP5-(AP5*Robybet!$I$10)</f>
        <v>7.3216666666666672</v>
      </c>
      <c r="AR5" s="125">
        <f t="shared" ref="AR5:AR12" si="8">AP5*(AL5-1)</f>
        <v>46</v>
      </c>
      <c r="AS5" s="125">
        <f t="shared" ref="AS5:AS12" si="9">AJ5-AR5</f>
        <v>-21</v>
      </c>
      <c r="AT5" s="125">
        <f t="shared" ref="AT5:AT12" si="10">AQ5-AH5</f>
        <v>2.3216666666666672</v>
      </c>
      <c r="AU5" s="130">
        <f t="shared" ref="AU5:AU12" si="11">AT5/AH5</f>
        <v>0.46433333333333343</v>
      </c>
      <c r="BC5" s="98" t="str">
        <f t="shared" si="0"/>
        <v>015</v>
      </c>
      <c r="BD5" s="78">
        <v>0</v>
      </c>
      <c r="BE5" s="72">
        <v>2.5</v>
      </c>
      <c r="BF5" s="72">
        <v>3</v>
      </c>
      <c r="BG5" s="73">
        <v>15</v>
      </c>
      <c r="BH5" s="86">
        <v>30</v>
      </c>
      <c r="BI5" s="96">
        <v>0.86</v>
      </c>
      <c r="BJ5" s="91" t="s">
        <v>207</v>
      </c>
      <c r="BK5" s="75">
        <v>2</v>
      </c>
      <c r="BL5" s="83">
        <v>1</v>
      </c>
      <c r="BM5" s="75"/>
      <c r="BQ5">
        <f t="shared" si="1"/>
        <v>2</v>
      </c>
      <c r="BR5" s="132">
        <f>IF(AND('..'!AU7&lt;=$BO$3,'..'!AU7&gt;0),'..'!AH7,"")</f>
        <v>15</v>
      </c>
      <c r="BS5">
        <f t="shared" si="2"/>
        <v>2</v>
      </c>
      <c r="BT5" t="str">
        <f>IF(OR(BQ11&lt;=BU4,BT4=""),"",IF(BU4&lt;&gt;0,VLOOKUP(BU4+1,BQ5:BR11,2,FALSE),IF(BS5&lt;&gt;0,BR5,IF(BS6&lt;&gt;0,BR6,IF(BS7&lt;&gt;0,BR7,IF(BS8&lt;&gt;0,BR8,IF(BS9&lt;&gt;0,BR9,IF(BS10&lt;&gt;0,BR10,""))))))))</f>
        <v/>
      </c>
      <c r="BU5">
        <f t="shared" si="3"/>
        <v>0</v>
      </c>
      <c r="BV5" s="134" t="str">
        <f>IFERROR(VLOOKUP(BT5,'..'!$AH$3:$AU$12,14,FALSE),"")</f>
        <v/>
      </c>
      <c r="BZ5" s="79" t="s">
        <v>223</v>
      </c>
      <c r="CA5" s="82">
        <f>Robybet!$I$5</f>
        <v>6</v>
      </c>
    </row>
    <row r="6" spans="34:79" ht="16.5" thickTop="1" thickBot="1">
      <c r="AH6" s="124">
        <v>10</v>
      </c>
      <c r="AI6" s="126">
        <f>Robybet!$I$5</f>
        <v>6</v>
      </c>
      <c r="AJ6" s="125">
        <f t="shared" si="4"/>
        <v>50</v>
      </c>
      <c r="AK6" s="124">
        <f t="shared" si="5"/>
        <v>90</v>
      </c>
      <c r="AL6" s="126">
        <f>Robybet!$P$5</f>
        <v>7</v>
      </c>
      <c r="AM6" s="124">
        <f>Robybet!$P$9</f>
        <v>30</v>
      </c>
      <c r="AN6" s="130">
        <f>Robybet!$I$11</f>
        <v>0.7</v>
      </c>
      <c r="AO6" s="124">
        <f t="shared" si="6"/>
        <v>9.0000000000000018</v>
      </c>
      <c r="AP6" s="125">
        <f t="shared" si="7"/>
        <v>11.833333333333334</v>
      </c>
      <c r="AQ6" s="125">
        <f>AP6-(AP6*Robybet!$I$10)</f>
        <v>11.300833333333333</v>
      </c>
      <c r="AR6" s="125">
        <f t="shared" si="8"/>
        <v>71</v>
      </c>
      <c r="AS6" s="125">
        <f t="shared" si="9"/>
        <v>-21</v>
      </c>
      <c r="AT6" s="125">
        <f t="shared" si="10"/>
        <v>1.3008333333333333</v>
      </c>
      <c r="AU6" s="130">
        <f t="shared" si="11"/>
        <v>0.13008333333333333</v>
      </c>
      <c r="BC6" s="98" t="str">
        <f t="shared" si="0"/>
        <v>020</v>
      </c>
      <c r="BD6" s="78">
        <v>0</v>
      </c>
      <c r="BE6" s="72">
        <v>2.5</v>
      </c>
      <c r="BF6" s="72">
        <v>3</v>
      </c>
      <c r="BG6" s="73">
        <v>20</v>
      </c>
      <c r="BH6" s="86">
        <v>30</v>
      </c>
      <c r="BI6" s="96">
        <v>0.86</v>
      </c>
      <c r="BJ6" s="91" t="s">
        <v>207</v>
      </c>
      <c r="BK6" s="75" t="s">
        <v>224</v>
      </c>
      <c r="BL6" s="83">
        <v>2</v>
      </c>
      <c r="BM6" s="75"/>
      <c r="BQ6">
        <f t="shared" si="1"/>
        <v>0</v>
      </c>
      <c r="BR6" s="132" t="str">
        <f>IF(AND('..'!AU8&lt;=$BO$3,'..'!AU8&gt;0),'..'!AH8,"")</f>
        <v/>
      </c>
      <c r="BS6">
        <f t="shared" si="2"/>
        <v>0</v>
      </c>
      <c r="BT6" t="str">
        <f>IF(OR(BQ11&lt;=BU5,BT5=""),"",IF(BU5&lt;&gt;0,VLOOKUP(BU5+1,BQ6:BR12,2,FALSE),IF(BS6&lt;&gt;0,BR6,IF(BS7&lt;&gt;0,BR7,IF(BS8&lt;&gt;0,BR8,IF(BS9&lt;&gt;0,BR9,IF(BS10&lt;&gt;0,BR10,"")))))))</f>
        <v/>
      </c>
      <c r="BU6">
        <f t="shared" si="3"/>
        <v>0</v>
      </c>
      <c r="BV6" s="134" t="str">
        <f>IFERROR(VLOOKUP(BT6,'..'!$AH$3:$AU$12,14,FALSE),"")</f>
        <v/>
      </c>
      <c r="BZ6" s="79" t="s">
        <v>225</v>
      </c>
      <c r="CA6" s="80" t="str">
        <f>CONCATENATE(CA2,CA4)</f>
        <v>410</v>
      </c>
    </row>
    <row r="7" spans="34:79" ht="16.5" thickTop="1" thickBot="1">
      <c r="AH7" s="124">
        <v>15</v>
      </c>
      <c r="AI7" s="126">
        <f>Robybet!$I$5</f>
        <v>6</v>
      </c>
      <c r="AJ7" s="125">
        <f t="shared" si="4"/>
        <v>75</v>
      </c>
      <c r="AK7" s="124">
        <f t="shared" si="5"/>
        <v>120</v>
      </c>
      <c r="AL7" s="126">
        <f>Robybet!$P$5</f>
        <v>7</v>
      </c>
      <c r="AM7" s="124">
        <f>Robybet!$P$9</f>
        <v>30</v>
      </c>
      <c r="AN7" s="130">
        <f>Robybet!$I$11</f>
        <v>0.7</v>
      </c>
      <c r="AO7" s="124">
        <f t="shared" si="6"/>
        <v>9.0000000000000018</v>
      </c>
      <c r="AP7" s="125">
        <f t="shared" si="7"/>
        <v>16</v>
      </c>
      <c r="AQ7" s="125">
        <f>AP7-(AP7*Robybet!$I$10)</f>
        <v>15.28</v>
      </c>
      <c r="AR7" s="125">
        <f t="shared" si="8"/>
        <v>96</v>
      </c>
      <c r="AS7" s="125">
        <f t="shared" si="9"/>
        <v>-21</v>
      </c>
      <c r="AT7" s="125">
        <f t="shared" si="10"/>
        <v>0.27999999999999936</v>
      </c>
      <c r="AU7" s="130">
        <f t="shared" si="11"/>
        <v>1.8666666666666623E-2</v>
      </c>
      <c r="BC7" s="98" t="str">
        <f t="shared" si="0"/>
        <v>025</v>
      </c>
      <c r="BD7" s="78">
        <v>0</v>
      </c>
      <c r="BE7" s="72">
        <v>2.5</v>
      </c>
      <c r="BF7" s="72">
        <v>3</v>
      </c>
      <c r="BG7" s="73">
        <v>25</v>
      </c>
      <c r="BH7" s="86">
        <v>30</v>
      </c>
      <c r="BI7" s="96">
        <v>0.86</v>
      </c>
      <c r="BJ7" s="91" t="s">
        <v>207</v>
      </c>
      <c r="BK7" s="75" t="s">
        <v>226</v>
      </c>
      <c r="BL7" s="83">
        <v>2</v>
      </c>
      <c r="BM7" s="75"/>
      <c r="BQ7">
        <f t="shared" si="1"/>
        <v>0</v>
      </c>
      <c r="BR7" s="132" t="str">
        <f>IF(AND('..'!AU9&lt;=$BO$3,'..'!AU9&gt;0),'..'!AH9,"")</f>
        <v/>
      </c>
      <c r="BS7">
        <f t="shared" si="2"/>
        <v>0</v>
      </c>
      <c r="BT7" t="str">
        <f>IF(OR(BQ11&lt;=BU6,BT6=""),"",IF(BU6&lt;&gt;0,VLOOKUP(BU6+1,BQ7:BR13,2,FALSE),IF(BS7&lt;&gt;0,BR7,IF(BS8&lt;&gt;0,BR8,IF(BS9&lt;&gt;0,BR9,IF(BS10&lt;&gt;0,BR10,IF(BS11&lt;&gt;0,BR11,"")))))))</f>
        <v/>
      </c>
      <c r="BU7">
        <f t="shared" si="3"/>
        <v>0</v>
      </c>
      <c r="BV7" s="134" t="str">
        <f>IFERROR(VLOOKUP(BT7,'..'!$AH$3:$AU$12,14,FALSE),"")</f>
        <v/>
      </c>
      <c r="BZ7" s="79" t="s">
        <v>193</v>
      </c>
      <c r="CA7" s="81">
        <f>VLOOKUP(CA6,BC2:BH50,6,FALSE)</f>
        <v>30</v>
      </c>
    </row>
    <row r="8" spans="34:79" ht="16.5" thickTop="1" thickBot="1">
      <c r="AH8" s="124">
        <v>20</v>
      </c>
      <c r="AI8" s="126">
        <f>Robybet!$I$5</f>
        <v>6</v>
      </c>
      <c r="AJ8" s="125">
        <f t="shared" si="4"/>
        <v>100</v>
      </c>
      <c r="AK8" s="124">
        <f t="shared" si="5"/>
        <v>150</v>
      </c>
      <c r="AL8" s="126">
        <f>Robybet!$P$5</f>
        <v>7</v>
      </c>
      <c r="AM8" s="124">
        <f>Robybet!$P$9</f>
        <v>30</v>
      </c>
      <c r="AN8" s="130">
        <f>Robybet!$I$11</f>
        <v>0.7</v>
      </c>
      <c r="AO8" s="124">
        <f t="shared" si="6"/>
        <v>9.0000000000000018</v>
      </c>
      <c r="AP8" s="125">
        <f t="shared" si="7"/>
        <v>20.166666666666668</v>
      </c>
      <c r="AQ8" s="125">
        <f>AP8-(AP8*Robybet!$I$10)</f>
        <v>19.259166666666669</v>
      </c>
      <c r="AR8" s="125">
        <f t="shared" si="8"/>
        <v>121</v>
      </c>
      <c r="AS8" s="125">
        <f t="shared" si="9"/>
        <v>-21</v>
      </c>
      <c r="AT8" s="125">
        <f t="shared" si="10"/>
        <v>-0.74083333333333101</v>
      </c>
      <c r="AU8" s="130">
        <f t="shared" si="11"/>
        <v>-3.7041666666666549E-2</v>
      </c>
      <c r="BC8" s="98" t="str">
        <f t="shared" si="0"/>
        <v>030</v>
      </c>
      <c r="BD8" s="78">
        <v>0</v>
      </c>
      <c r="BE8" s="72">
        <v>2.5</v>
      </c>
      <c r="BF8" s="72">
        <v>3</v>
      </c>
      <c r="BG8" s="73">
        <v>30</v>
      </c>
      <c r="BH8" s="86">
        <v>30</v>
      </c>
      <c r="BI8" s="96">
        <v>0.86</v>
      </c>
      <c r="BJ8" s="91" t="s">
        <v>207</v>
      </c>
      <c r="BK8" s="75" t="s">
        <v>227</v>
      </c>
      <c r="BL8" s="83">
        <v>2</v>
      </c>
      <c r="BM8" s="75"/>
      <c r="BQ8">
        <f t="shared" si="1"/>
        <v>0</v>
      </c>
      <c r="BR8" s="132" t="str">
        <f>IF(AND('..'!AU10&lt;=$BO$3,'..'!AU10&gt;0),'..'!AH10,"")</f>
        <v/>
      </c>
      <c r="BS8">
        <f t="shared" si="2"/>
        <v>0</v>
      </c>
      <c r="BT8" t="str">
        <f>IF(OR(BQ11&lt;=BU7,BT7=""),"",IF(BU7&lt;&gt;0,VLOOKUP(BU7+1,BQ8:BR14,2,FALSE),IF(BS8&lt;&gt;0,BR8,IF(BS9&lt;&gt;0,BR9,IF(BS10&lt;&gt;0,BR10,"")))))</f>
        <v/>
      </c>
      <c r="BU8">
        <f t="shared" si="3"/>
        <v>0</v>
      </c>
      <c r="BV8" s="134" t="str">
        <f>IFERROR(VLOOKUP(BT8,'..'!$AH$3:$AU$12,14,FALSE),"")</f>
        <v/>
      </c>
      <c r="BZ8" s="79" t="s">
        <v>228</v>
      </c>
      <c r="CA8" s="94">
        <f>VLOOKUP(CA6,BC2:BI50,7,FALSE)</f>
        <v>0.72</v>
      </c>
    </row>
    <row r="9" spans="34:79" ht="16.5" thickTop="1" thickBot="1">
      <c r="AH9" s="124">
        <v>25</v>
      </c>
      <c r="AI9" s="126">
        <f>Robybet!$I$5</f>
        <v>6</v>
      </c>
      <c r="AJ9" s="125">
        <f t="shared" si="4"/>
        <v>125</v>
      </c>
      <c r="AK9" s="124">
        <f t="shared" si="5"/>
        <v>180</v>
      </c>
      <c r="AL9" s="126">
        <f>Robybet!$P$5</f>
        <v>7</v>
      </c>
      <c r="AM9" s="124">
        <f>Robybet!$P$9</f>
        <v>30</v>
      </c>
      <c r="AN9" s="130">
        <f>Robybet!$I$11</f>
        <v>0.7</v>
      </c>
      <c r="AO9" s="124">
        <f t="shared" si="6"/>
        <v>9.0000000000000018</v>
      </c>
      <c r="AP9" s="125">
        <f t="shared" si="7"/>
        <v>24.333333333333332</v>
      </c>
      <c r="AQ9" s="125">
        <f>AP9-(AP9*Robybet!$I$10)</f>
        <v>23.238333333333333</v>
      </c>
      <c r="AR9" s="125">
        <f t="shared" si="8"/>
        <v>146</v>
      </c>
      <c r="AS9" s="125">
        <f t="shared" si="9"/>
        <v>-21</v>
      </c>
      <c r="AT9" s="125">
        <f t="shared" si="10"/>
        <v>-1.7616666666666667</v>
      </c>
      <c r="AU9" s="130">
        <f t="shared" si="11"/>
        <v>-7.0466666666666664E-2</v>
      </c>
      <c r="BC9" s="98" t="str">
        <f t="shared" si="0"/>
        <v>035</v>
      </c>
      <c r="BD9" s="78">
        <v>0</v>
      </c>
      <c r="BE9" s="72">
        <v>2.5</v>
      </c>
      <c r="BF9" s="72">
        <v>3</v>
      </c>
      <c r="BG9" s="73">
        <v>35</v>
      </c>
      <c r="BH9" s="86">
        <v>30</v>
      </c>
      <c r="BI9" s="96">
        <v>0.86</v>
      </c>
      <c r="BJ9" s="91" t="s">
        <v>207</v>
      </c>
      <c r="BQ9">
        <f t="shared" si="1"/>
        <v>0</v>
      </c>
      <c r="BR9" s="132" t="str">
        <f>IF(AND('..'!AU11&lt;=$BO$3,'..'!AU11&gt;0),'..'!AH11,"")</f>
        <v/>
      </c>
      <c r="BS9">
        <f t="shared" si="2"/>
        <v>0</v>
      </c>
      <c r="BT9" t="str">
        <f>IF(OR(BQ11&lt;=BU8,BT8=""),"",IF(BU8&lt;&gt;0,VLOOKUP(BU8+1,BQ9:BR15,2,FALSE),IF(BS9&lt;&gt;0,BR9,IF(BS10&lt;&gt;0,BR10,""))))</f>
        <v/>
      </c>
      <c r="BU9">
        <f t="shared" si="3"/>
        <v>0</v>
      </c>
      <c r="BV9" s="134" t="str">
        <f>IFERROR(VLOOKUP(BT9,'..'!$AH$3:$AU$12,14,FALSE),"")</f>
        <v/>
      </c>
      <c r="BZ9" s="79" t="s">
        <v>229</v>
      </c>
      <c r="CA9" s="81">
        <f>VLOOKUP(CA6,BC53:BH101,6,FALSE)</f>
        <v>30</v>
      </c>
    </row>
    <row r="10" spans="34:79" ht="16.5" thickTop="1" thickBot="1">
      <c r="AH10" s="124">
        <v>30</v>
      </c>
      <c r="AI10" s="126">
        <f>Robybet!$I$5</f>
        <v>6</v>
      </c>
      <c r="AJ10" s="125">
        <f t="shared" si="4"/>
        <v>150</v>
      </c>
      <c r="AK10" s="124">
        <f t="shared" si="5"/>
        <v>210</v>
      </c>
      <c r="AL10" s="126">
        <f>Robybet!$P$5</f>
        <v>7</v>
      </c>
      <c r="AM10" s="124">
        <f>Robybet!$P$9</f>
        <v>30</v>
      </c>
      <c r="AN10" s="130">
        <f>Robybet!$I$11</f>
        <v>0.7</v>
      </c>
      <c r="AO10" s="124">
        <f t="shared" si="6"/>
        <v>9.0000000000000018</v>
      </c>
      <c r="AP10" s="125">
        <f t="shared" si="7"/>
        <v>28.5</v>
      </c>
      <c r="AQ10" s="125">
        <f>AP10-(AP10*Robybet!$I$10)</f>
        <v>27.217500000000001</v>
      </c>
      <c r="AR10" s="125">
        <f t="shared" si="8"/>
        <v>171</v>
      </c>
      <c r="AS10" s="125">
        <f t="shared" si="9"/>
        <v>-21</v>
      </c>
      <c r="AT10" s="125">
        <f t="shared" si="10"/>
        <v>-2.7824999999999989</v>
      </c>
      <c r="AU10" s="130">
        <f t="shared" si="11"/>
        <v>-9.2749999999999957E-2</v>
      </c>
      <c r="BC10" s="98" t="str">
        <f t="shared" si="0"/>
        <v>040</v>
      </c>
      <c r="BD10" s="78">
        <v>0</v>
      </c>
      <c r="BE10" s="72">
        <v>2.5</v>
      </c>
      <c r="BF10" s="72">
        <v>3</v>
      </c>
      <c r="BG10" s="73">
        <v>40</v>
      </c>
      <c r="BH10" s="86">
        <v>30</v>
      </c>
      <c r="BI10" s="96">
        <v>0.86</v>
      </c>
      <c r="BJ10" s="91" t="s">
        <v>207</v>
      </c>
      <c r="BQ10">
        <f t="shared" si="1"/>
        <v>0</v>
      </c>
      <c r="BR10" s="132" t="str">
        <f>IF(AND('..'!AU12&lt;=$BO$3,'..'!AU12&gt;0),'..'!AH12,"")</f>
        <v/>
      </c>
      <c r="BS10">
        <f t="shared" si="2"/>
        <v>0</v>
      </c>
      <c r="BT10" t="str">
        <f>IF(OR(BQ11&lt;=BU9,BT9=""),"",IF(BU9&lt;&gt;0,VLOOKUP(BU9+1,BQ10:BR16,2,FALSE),IF(BS10&lt;&gt;0,BR10,"")))</f>
        <v/>
      </c>
      <c r="BU10">
        <f t="shared" si="3"/>
        <v>0</v>
      </c>
      <c r="BV10" s="134" t="str">
        <f>IFERROR(VLOOKUP(BT10,'..'!$AH$3:$AU$12,14,FALSE),"")</f>
        <v/>
      </c>
      <c r="BZ10" s="79" t="s">
        <v>231</v>
      </c>
      <c r="CA10" s="94">
        <f>VLOOKUP(CA6,BC53:BI101,7,FALSE)</f>
        <v>0.54</v>
      </c>
    </row>
    <row r="11" spans="34:79" ht="16.5" thickTop="1" thickBot="1">
      <c r="AH11" s="124">
        <v>35</v>
      </c>
      <c r="AI11" s="126">
        <f>Robybet!$I$5</f>
        <v>6</v>
      </c>
      <c r="AJ11" s="125">
        <f t="shared" si="4"/>
        <v>175</v>
      </c>
      <c r="AK11" s="124">
        <f t="shared" si="5"/>
        <v>240</v>
      </c>
      <c r="AL11" s="126">
        <f>Robybet!$P$5</f>
        <v>7</v>
      </c>
      <c r="AM11" s="124">
        <f>Robybet!$P$9</f>
        <v>30</v>
      </c>
      <c r="AN11" s="130">
        <f>Robybet!$I$11</f>
        <v>0.7</v>
      </c>
      <c r="AO11" s="124">
        <f t="shared" si="6"/>
        <v>9.0000000000000018</v>
      </c>
      <c r="AP11" s="125">
        <f t="shared" si="7"/>
        <v>32.666666666666664</v>
      </c>
      <c r="AQ11" s="125">
        <f>AP11-(AP11*Robybet!$I$10)</f>
        <v>31.196666666666665</v>
      </c>
      <c r="AR11" s="125">
        <f t="shared" si="8"/>
        <v>196</v>
      </c>
      <c r="AS11" s="125">
        <f t="shared" si="9"/>
        <v>-21</v>
      </c>
      <c r="AT11" s="125">
        <f t="shared" si="10"/>
        <v>-3.8033333333333346</v>
      </c>
      <c r="AU11" s="130">
        <f t="shared" si="11"/>
        <v>-0.1086666666666667</v>
      </c>
      <c r="BC11" s="98" t="str">
        <f t="shared" si="0"/>
        <v>15</v>
      </c>
      <c r="BD11" s="78">
        <v>1</v>
      </c>
      <c r="BE11" s="72">
        <v>3.01</v>
      </c>
      <c r="BF11" s="72">
        <v>4</v>
      </c>
      <c r="BG11" s="73">
        <v>5</v>
      </c>
      <c r="BH11" s="86">
        <v>30</v>
      </c>
      <c r="BI11" s="96">
        <v>0.87</v>
      </c>
      <c r="BJ11" s="90" t="s">
        <v>232</v>
      </c>
      <c r="BP11" t="s">
        <v>233</v>
      </c>
      <c r="BQ11">
        <f>MAX(BQ3:BQ10)</f>
        <v>2</v>
      </c>
      <c r="BZ11" s="79" t="s">
        <v>234</v>
      </c>
      <c r="CA11" s="80">
        <f>VLOOKUP(CA3,BK2:BL8,2,FALSE)</f>
        <v>1</v>
      </c>
    </row>
    <row r="12" spans="34:79" ht="16.5" thickTop="1" thickBot="1">
      <c r="AH12" s="124">
        <v>40</v>
      </c>
      <c r="AI12" s="126">
        <f>Robybet!$I$5</f>
        <v>6</v>
      </c>
      <c r="AJ12" s="125">
        <f t="shared" si="4"/>
        <v>200</v>
      </c>
      <c r="AK12" s="124">
        <f t="shared" si="5"/>
        <v>270</v>
      </c>
      <c r="AL12" s="126">
        <f>Robybet!$P$5</f>
        <v>7</v>
      </c>
      <c r="AM12" s="124">
        <f>Robybet!$P$9</f>
        <v>30</v>
      </c>
      <c r="AN12" s="130">
        <f>Robybet!$I$11</f>
        <v>0.7</v>
      </c>
      <c r="AO12" s="124">
        <f t="shared" si="6"/>
        <v>9.0000000000000018</v>
      </c>
      <c r="AP12" s="125">
        <f t="shared" si="7"/>
        <v>36.833333333333336</v>
      </c>
      <c r="AQ12" s="125">
        <f>AP12-(AP12*Robybet!$I$10)</f>
        <v>35.175833333333337</v>
      </c>
      <c r="AR12" s="125">
        <f t="shared" si="8"/>
        <v>221</v>
      </c>
      <c r="AS12" s="125">
        <f t="shared" si="9"/>
        <v>-21</v>
      </c>
      <c r="AT12" s="125">
        <f t="shared" si="10"/>
        <v>-4.8241666666666632</v>
      </c>
      <c r="AU12" s="130">
        <f t="shared" si="11"/>
        <v>-0.12060416666666658</v>
      </c>
      <c r="BC12" s="98" t="str">
        <f t="shared" ref="BC12:BC50" si="12">CONCATENATE(BD12,BG12)</f>
        <v>110</v>
      </c>
      <c r="BD12" s="78">
        <v>1</v>
      </c>
      <c r="BE12" s="72">
        <v>3.01</v>
      </c>
      <c r="BF12" s="72">
        <v>4</v>
      </c>
      <c r="BG12" s="73">
        <v>10</v>
      </c>
      <c r="BH12" s="86">
        <v>30</v>
      </c>
      <c r="BI12" s="96">
        <v>0.87</v>
      </c>
      <c r="BJ12" s="90" t="s">
        <v>232</v>
      </c>
      <c r="BZ12" s="79" t="s">
        <v>235</v>
      </c>
      <c r="CA12" s="81">
        <f>IF(CA11=1,CA7,CA9)</f>
        <v>30</v>
      </c>
    </row>
    <row r="13" spans="34:79" ht="16.5" thickTop="1" thickBot="1">
      <c r="BC13" s="98" t="str">
        <f t="shared" si="12"/>
        <v>115</v>
      </c>
      <c r="BD13" s="78">
        <v>1</v>
      </c>
      <c r="BE13" s="72">
        <v>3.01</v>
      </c>
      <c r="BF13" s="72">
        <v>4</v>
      </c>
      <c r="BG13" s="73">
        <v>15</v>
      </c>
      <c r="BH13" s="86">
        <v>30</v>
      </c>
      <c r="BI13" s="96">
        <v>0.87</v>
      </c>
      <c r="BJ13" s="90" t="s">
        <v>232</v>
      </c>
      <c r="BZ13" s="79" t="s">
        <v>236</v>
      </c>
      <c r="CA13" s="81">
        <f>IF(CA11=1,VLOOKUP($CA$2,$BQ$40:$BS$46,2,FALSE),VLOOKUP($CA$2,$BQ$40:$BW$46,4,FALSE))</f>
        <v>5</v>
      </c>
    </row>
    <row r="14" spans="34:79" ht="16.5" thickTop="1" thickBot="1">
      <c r="BC14" s="98" t="str">
        <f t="shared" si="12"/>
        <v>120</v>
      </c>
      <c r="BD14" s="78">
        <v>1</v>
      </c>
      <c r="BE14" s="72">
        <v>3.01</v>
      </c>
      <c r="BF14" s="72">
        <v>4</v>
      </c>
      <c r="BG14" s="73">
        <v>20</v>
      </c>
      <c r="BH14" s="86">
        <v>30</v>
      </c>
      <c r="BI14" s="96">
        <v>0.87</v>
      </c>
      <c r="BJ14" s="90" t="s">
        <v>232</v>
      </c>
      <c r="BZ14" s="79" t="s">
        <v>237</v>
      </c>
      <c r="CA14" s="81">
        <f>IF(CA11=1,VLOOKUP($CA$2,$BQ$40:$BS$46,3,FALSE),VLOOKUP($CA$2,$BQ$40:$BW$46,5,FALSE))</f>
        <v>20</v>
      </c>
    </row>
    <row r="15" spans="34:79" ht="16.5" thickTop="1" thickBot="1">
      <c r="BC15" s="98" t="str">
        <f t="shared" si="12"/>
        <v>125</v>
      </c>
      <c r="BD15" s="78">
        <v>1</v>
      </c>
      <c r="BE15" s="72">
        <v>3.01</v>
      </c>
      <c r="BF15" s="72">
        <v>4</v>
      </c>
      <c r="BG15" s="73">
        <v>25</v>
      </c>
      <c r="BH15" s="86">
        <v>30</v>
      </c>
      <c r="BI15" s="96">
        <v>0.87</v>
      </c>
      <c r="BJ15" s="90" t="s">
        <v>232</v>
      </c>
    </row>
    <row r="16" spans="34:79" ht="16.5" thickTop="1" thickBot="1">
      <c r="BC16" s="98" t="str">
        <f t="shared" si="12"/>
        <v>130</v>
      </c>
      <c r="BD16" s="78">
        <v>1</v>
      </c>
      <c r="BE16" s="72">
        <v>3.01</v>
      </c>
      <c r="BF16" s="72">
        <v>4</v>
      </c>
      <c r="BG16" s="73">
        <v>30</v>
      </c>
      <c r="BH16" s="86">
        <v>30</v>
      </c>
      <c r="BI16" s="96">
        <v>0.87</v>
      </c>
      <c r="BJ16" s="90" t="s">
        <v>232</v>
      </c>
    </row>
    <row r="17" spans="55:62" ht="16.5" thickTop="1" thickBot="1">
      <c r="BC17" s="98" t="str">
        <f t="shared" si="12"/>
        <v>135</v>
      </c>
      <c r="BD17" s="78">
        <v>1</v>
      </c>
      <c r="BE17" s="72">
        <v>3.01</v>
      </c>
      <c r="BF17" s="72">
        <v>4</v>
      </c>
      <c r="BG17" s="73">
        <v>35</v>
      </c>
      <c r="BH17" s="86">
        <v>30</v>
      </c>
      <c r="BI17" s="96">
        <v>0.87</v>
      </c>
      <c r="BJ17" s="90" t="s">
        <v>232</v>
      </c>
    </row>
    <row r="18" spans="55:62" ht="16.5" thickTop="1" thickBot="1">
      <c r="BC18" s="98" t="str">
        <f t="shared" si="12"/>
        <v>140</v>
      </c>
      <c r="BD18" s="78">
        <v>1</v>
      </c>
      <c r="BE18" s="72">
        <v>3.01</v>
      </c>
      <c r="BF18" s="72">
        <v>4</v>
      </c>
      <c r="BG18" s="73">
        <v>40</v>
      </c>
      <c r="BH18" s="86">
        <v>30</v>
      </c>
      <c r="BI18" s="96">
        <v>0.87</v>
      </c>
      <c r="BJ18" s="90" t="s">
        <v>232</v>
      </c>
    </row>
    <row r="19" spans="55:62" ht="16.5" thickTop="1" thickBot="1">
      <c r="BC19" s="98" t="str">
        <f t="shared" si="12"/>
        <v>25</v>
      </c>
      <c r="BD19" s="78">
        <v>2</v>
      </c>
      <c r="BE19" s="72">
        <v>4.01</v>
      </c>
      <c r="BF19" s="72">
        <v>5</v>
      </c>
      <c r="BG19" s="73">
        <v>5</v>
      </c>
      <c r="BH19" s="86">
        <v>30</v>
      </c>
      <c r="BI19" s="96">
        <v>0.82</v>
      </c>
      <c r="BJ19" s="90" t="s">
        <v>238</v>
      </c>
    </row>
    <row r="20" spans="55:62" ht="16.5" thickTop="1" thickBot="1">
      <c r="BC20" s="98" t="str">
        <f t="shared" si="12"/>
        <v>210</v>
      </c>
      <c r="BD20" s="78">
        <v>2</v>
      </c>
      <c r="BE20" s="72">
        <v>4.01</v>
      </c>
      <c r="BF20" s="72">
        <v>5</v>
      </c>
      <c r="BG20" s="73">
        <v>10</v>
      </c>
      <c r="BH20" s="86">
        <v>30</v>
      </c>
      <c r="BI20" s="96">
        <v>0.82</v>
      </c>
      <c r="BJ20" s="90" t="s">
        <v>238</v>
      </c>
    </row>
    <row r="21" spans="55:62" ht="16.5" thickTop="1" thickBot="1">
      <c r="BC21" s="98" t="str">
        <f t="shared" si="12"/>
        <v>215</v>
      </c>
      <c r="BD21" s="78">
        <v>2</v>
      </c>
      <c r="BE21" s="72">
        <v>4.01</v>
      </c>
      <c r="BF21" s="72">
        <v>5</v>
      </c>
      <c r="BG21" s="73">
        <v>15</v>
      </c>
      <c r="BH21" s="86">
        <v>30</v>
      </c>
      <c r="BI21" s="96">
        <v>0.82</v>
      </c>
      <c r="BJ21" s="90" t="s">
        <v>238</v>
      </c>
    </row>
    <row r="22" spans="55:62" ht="16.5" thickTop="1" thickBot="1">
      <c r="BC22" s="98" t="str">
        <f t="shared" si="12"/>
        <v>220</v>
      </c>
      <c r="BD22" s="78">
        <v>2</v>
      </c>
      <c r="BE22" s="72">
        <v>4.01</v>
      </c>
      <c r="BF22" s="72">
        <v>5</v>
      </c>
      <c r="BG22" s="73">
        <v>20</v>
      </c>
      <c r="BH22" s="86">
        <v>30</v>
      </c>
      <c r="BI22" s="96">
        <v>0.82</v>
      </c>
      <c r="BJ22" s="90" t="s">
        <v>238</v>
      </c>
    </row>
    <row r="23" spans="55:62" ht="16.5" thickTop="1" thickBot="1">
      <c r="BC23" s="98" t="str">
        <f t="shared" si="12"/>
        <v>225</v>
      </c>
      <c r="BD23" s="78">
        <v>2</v>
      </c>
      <c r="BE23" s="72">
        <v>4.01</v>
      </c>
      <c r="BF23" s="72">
        <v>5</v>
      </c>
      <c r="BG23" s="73">
        <v>25</v>
      </c>
      <c r="BH23" s="86">
        <v>30</v>
      </c>
      <c r="BI23" s="96">
        <v>0.82</v>
      </c>
      <c r="BJ23" s="90" t="s">
        <v>238</v>
      </c>
    </row>
    <row r="24" spans="55:62" ht="16.5" thickTop="1" thickBot="1">
      <c r="BC24" s="98" t="str">
        <f t="shared" si="12"/>
        <v>230</v>
      </c>
      <c r="BD24" s="78">
        <v>2</v>
      </c>
      <c r="BE24" s="72">
        <v>4.01</v>
      </c>
      <c r="BF24" s="72">
        <v>5</v>
      </c>
      <c r="BG24" s="73">
        <v>30</v>
      </c>
      <c r="BH24" s="86">
        <v>30</v>
      </c>
      <c r="BI24" s="96">
        <v>0.82</v>
      </c>
      <c r="BJ24" s="90" t="s">
        <v>238</v>
      </c>
    </row>
    <row r="25" spans="55:62" ht="16.5" thickTop="1" thickBot="1">
      <c r="BC25" s="98" t="str">
        <f t="shared" si="12"/>
        <v>235</v>
      </c>
      <c r="BD25" s="78">
        <v>2</v>
      </c>
      <c r="BE25" s="72">
        <v>4.01</v>
      </c>
      <c r="BF25" s="72">
        <v>5</v>
      </c>
      <c r="BG25" s="73">
        <v>35</v>
      </c>
      <c r="BH25" s="86">
        <v>30</v>
      </c>
      <c r="BI25" s="96">
        <v>0.82</v>
      </c>
      <c r="BJ25" s="90" t="s">
        <v>238</v>
      </c>
    </row>
    <row r="26" spans="55:62" ht="16.5" thickTop="1" thickBot="1">
      <c r="BC26" s="98" t="str">
        <f t="shared" si="12"/>
        <v>240</v>
      </c>
      <c r="BD26" s="78">
        <v>2</v>
      </c>
      <c r="BE26" s="72">
        <v>4.01</v>
      </c>
      <c r="BF26" s="72">
        <v>5</v>
      </c>
      <c r="BG26" s="73">
        <v>40</v>
      </c>
      <c r="BH26" s="86">
        <v>30</v>
      </c>
      <c r="BI26" s="96">
        <v>0.82</v>
      </c>
      <c r="BJ26" s="90" t="s">
        <v>238</v>
      </c>
    </row>
    <row r="27" spans="55:62" ht="16.5" thickTop="1" thickBot="1">
      <c r="BC27" s="98" t="str">
        <f t="shared" si="12"/>
        <v>35</v>
      </c>
      <c r="BD27" s="78">
        <v>3</v>
      </c>
      <c r="BE27" s="72">
        <v>5.01</v>
      </c>
      <c r="BF27" s="72">
        <v>5.5</v>
      </c>
      <c r="BG27" s="73">
        <v>5</v>
      </c>
      <c r="BH27" s="86">
        <v>30</v>
      </c>
      <c r="BI27" s="96">
        <v>0.75</v>
      </c>
      <c r="BJ27" s="90" t="s">
        <v>239</v>
      </c>
    </row>
    <row r="28" spans="55:62" ht="16.5" thickTop="1" thickBot="1">
      <c r="BC28" s="98" t="str">
        <f t="shared" si="12"/>
        <v>310</v>
      </c>
      <c r="BD28" s="78">
        <v>3</v>
      </c>
      <c r="BE28" s="72">
        <v>5.01</v>
      </c>
      <c r="BF28" s="72">
        <v>5.5</v>
      </c>
      <c r="BG28" s="73">
        <v>10</v>
      </c>
      <c r="BH28" s="86">
        <v>30</v>
      </c>
      <c r="BI28" s="96">
        <v>0.75</v>
      </c>
      <c r="BJ28" s="90" t="s">
        <v>239</v>
      </c>
    </row>
    <row r="29" spans="55:62" ht="16.5" thickTop="1" thickBot="1">
      <c r="BC29" s="98" t="str">
        <f t="shared" si="12"/>
        <v>315</v>
      </c>
      <c r="BD29" s="78">
        <v>3</v>
      </c>
      <c r="BE29" s="72">
        <v>5.01</v>
      </c>
      <c r="BF29" s="72">
        <v>5.5</v>
      </c>
      <c r="BG29" s="73">
        <v>15</v>
      </c>
      <c r="BH29" s="86">
        <v>30</v>
      </c>
      <c r="BI29" s="96">
        <v>0.75</v>
      </c>
      <c r="BJ29" s="90" t="s">
        <v>239</v>
      </c>
    </row>
    <row r="30" spans="55:62" ht="16.5" thickTop="1" thickBot="1">
      <c r="BC30" s="98" t="str">
        <f t="shared" si="12"/>
        <v>320</v>
      </c>
      <c r="BD30" s="78">
        <v>3</v>
      </c>
      <c r="BE30" s="72">
        <v>5.01</v>
      </c>
      <c r="BF30" s="72">
        <v>5.5</v>
      </c>
      <c r="BG30" s="73">
        <v>20</v>
      </c>
      <c r="BH30" s="86">
        <v>30</v>
      </c>
      <c r="BI30" s="96">
        <v>0.75</v>
      </c>
      <c r="BJ30" s="90" t="s">
        <v>239</v>
      </c>
    </row>
    <row r="31" spans="55:62" ht="16.5" thickTop="1" thickBot="1">
      <c r="BC31" s="98" t="str">
        <f t="shared" si="12"/>
        <v>325</v>
      </c>
      <c r="BD31" s="78">
        <v>3</v>
      </c>
      <c r="BE31" s="72">
        <v>5.01</v>
      </c>
      <c r="BF31" s="72">
        <v>5.5</v>
      </c>
      <c r="BG31" s="73">
        <v>25</v>
      </c>
      <c r="BH31" s="86">
        <v>30</v>
      </c>
      <c r="BI31" s="96">
        <v>0.75</v>
      </c>
      <c r="BJ31" s="90" t="s">
        <v>239</v>
      </c>
    </row>
    <row r="32" spans="55:62" ht="16.5" thickTop="1" thickBot="1">
      <c r="BC32" s="98" t="str">
        <f t="shared" si="12"/>
        <v>330</v>
      </c>
      <c r="BD32" s="78">
        <v>3</v>
      </c>
      <c r="BE32" s="72">
        <v>5.01</v>
      </c>
      <c r="BF32" s="72">
        <v>5.5</v>
      </c>
      <c r="BG32" s="73">
        <v>30</v>
      </c>
      <c r="BH32" s="86">
        <v>30</v>
      </c>
      <c r="BI32" s="96">
        <v>0.75</v>
      </c>
      <c r="BJ32" s="90" t="s">
        <v>239</v>
      </c>
    </row>
    <row r="33" spans="55:79" ht="16.5" thickTop="1" thickBot="1">
      <c r="BC33" s="98" t="str">
        <f t="shared" si="12"/>
        <v>335</v>
      </c>
      <c r="BD33" s="78">
        <v>3</v>
      </c>
      <c r="BE33" s="72">
        <v>5.01</v>
      </c>
      <c r="BF33" s="72">
        <v>5.5</v>
      </c>
      <c r="BG33" s="73">
        <v>35</v>
      </c>
      <c r="BH33" s="86">
        <v>30</v>
      </c>
      <c r="BI33" s="96">
        <v>0.75</v>
      </c>
      <c r="BJ33" s="90" t="s">
        <v>239</v>
      </c>
    </row>
    <row r="34" spans="55:79" ht="16.5" thickTop="1" thickBot="1">
      <c r="BC34" s="98" t="str">
        <f t="shared" si="12"/>
        <v>340</v>
      </c>
      <c r="BD34" s="78">
        <v>3</v>
      </c>
      <c r="BE34" s="72">
        <v>5.01</v>
      </c>
      <c r="BF34" s="72">
        <v>5.5</v>
      </c>
      <c r="BG34" s="73">
        <v>40</v>
      </c>
      <c r="BH34" s="86">
        <v>30</v>
      </c>
      <c r="BI34" s="96">
        <v>0.75</v>
      </c>
      <c r="BJ34" s="90" t="s">
        <v>239</v>
      </c>
    </row>
    <row r="35" spans="55:79" ht="16.5" thickTop="1" thickBot="1">
      <c r="BC35" s="98" t="str">
        <f t="shared" si="12"/>
        <v>45</v>
      </c>
      <c r="BD35" s="78">
        <v>4</v>
      </c>
      <c r="BE35" s="72">
        <v>5.51</v>
      </c>
      <c r="BF35" s="72">
        <v>6</v>
      </c>
      <c r="BG35" s="73">
        <v>5</v>
      </c>
      <c r="BH35" s="86">
        <v>30</v>
      </c>
      <c r="BI35" s="96">
        <v>0.72</v>
      </c>
      <c r="BJ35" s="90" t="s">
        <v>240</v>
      </c>
    </row>
    <row r="36" spans="55:79" ht="16.5" thickTop="1" thickBot="1">
      <c r="BC36" s="98" t="str">
        <f t="shared" si="12"/>
        <v>410</v>
      </c>
      <c r="BD36" s="78">
        <v>4</v>
      </c>
      <c r="BE36" s="72">
        <v>5.51</v>
      </c>
      <c r="BF36" s="72">
        <v>6</v>
      </c>
      <c r="BG36" s="73">
        <v>10</v>
      </c>
      <c r="BH36" s="86">
        <v>30</v>
      </c>
      <c r="BI36" s="96">
        <v>0.72</v>
      </c>
      <c r="BJ36" s="90" t="s">
        <v>240</v>
      </c>
    </row>
    <row r="37" spans="55:79" ht="16.5" thickTop="1" thickBot="1">
      <c r="BC37" s="98" t="str">
        <f t="shared" si="12"/>
        <v>415</v>
      </c>
      <c r="BD37" s="78">
        <v>4</v>
      </c>
      <c r="BE37" s="72">
        <v>5.51</v>
      </c>
      <c r="BF37" s="72">
        <v>6</v>
      </c>
      <c r="BG37" s="73">
        <v>15</v>
      </c>
      <c r="BH37" s="86">
        <v>30</v>
      </c>
      <c r="BI37" s="96">
        <v>0.72</v>
      </c>
      <c r="BJ37" s="90" t="s">
        <v>240</v>
      </c>
    </row>
    <row r="38" spans="55:79" ht="16.5" thickTop="1" thickBot="1">
      <c r="BC38" s="98" t="str">
        <f t="shared" si="12"/>
        <v>420</v>
      </c>
      <c r="BD38" s="78">
        <v>4</v>
      </c>
      <c r="BE38" s="72">
        <v>5.51</v>
      </c>
      <c r="BF38" s="72">
        <v>6</v>
      </c>
      <c r="BG38" s="73">
        <v>20</v>
      </c>
      <c r="BH38" s="86">
        <v>30</v>
      </c>
      <c r="BI38" s="96">
        <v>0.72</v>
      </c>
      <c r="BJ38" s="90" t="s">
        <v>240</v>
      </c>
    </row>
    <row r="39" spans="55:79" ht="16.5" thickTop="1" thickBot="1">
      <c r="BC39" s="98" t="str">
        <f t="shared" ref="BC39:BC42" si="13">CONCATENATE(BD39,BG39)</f>
        <v>425</v>
      </c>
      <c r="BD39" s="78">
        <v>4</v>
      </c>
      <c r="BE39" s="72">
        <v>5.51</v>
      </c>
      <c r="BF39" s="72">
        <v>6</v>
      </c>
      <c r="BG39" s="73">
        <v>25</v>
      </c>
      <c r="BH39" s="86">
        <v>30</v>
      </c>
      <c r="BI39" s="96">
        <v>0.72</v>
      </c>
      <c r="BJ39" s="90" t="s">
        <v>240</v>
      </c>
    </row>
    <row r="40" spans="55:79" ht="42" thickTop="1" thickBot="1">
      <c r="BC40" s="98" t="str">
        <f t="shared" si="13"/>
        <v>430</v>
      </c>
      <c r="BD40" s="78">
        <v>4</v>
      </c>
      <c r="BE40" s="72">
        <v>5.51</v>
      </c>
      <c r="BF40" s="72">
        <v>6</v>
      </c>
      <c r="BG40" s="73">
        <v>30</v>
      </c>
      <c r="BH40" s="86">
        <v>30</v>
      </c>
      <c r="BI40" s="96">
        <v>0.72</v>
      </c>
      <c r="BJ40" s="90" t="s">
        <v>240</v>
      </c>
      <c r="BO40" s="71" t="s">
        <v>190</v>
      </c>
      <c r="BP40" s="71" t="s">
        <v>191</v>
      </c>
      <c r="BQ40" s="71" t="s">
        <v>189</v>
      </c>
      <c r="BR40" s="101" t="s">
        <v>241</v>
      </c>
      <c r="BS40" s="102" t="s">
        <v>242</v>
      </c>
      <c r="BT40" s="701" t="s">
        <v>243</v>
      </c>
      <c r="BU40" s="702"/>
      <c r="BV40" s="101" t="s">
        <v>244</v>
      </c>
      <c r="BW40" s="102" t="s">
        <v>245</v>
      </c>
      <c r="BX40" s="701" t="s">
        <v>243</v>
      </c>
      <c r="BY40" s="702"/>
      <c r="BZ40" s="78" t="s">
        <v>194</v>
      </c>
      <c r="CA40" s="92" t="s">
        <v>195</v>
      </c>
    </row>
    <row r="41" spans="55:79" ht="16.5" thickTop="1" thickBot="1">
      <c r="BC41" s="98" t="str">
        <f t="shared" si="13"/>
        <v>435</v>
      </c>
      <c r="BD41" s="78">
        <v>4</v>
      </c>
      <c r="BE41" s="72">
        <v>5.51</v>
      </c>
      <c r="BF41" s="72">
        <v>6</v>
      </c>
      <c r="BG41" s="73">
        <v>35</v>
      </c>
      <c r="BH41" s="86">
        <v>30</v>
      </c>
      <c r="BI41" s="96">
        <v>0.72</v>
      </c>
      <c r="BJ41" s="90" t="s">
        <v>240</v>
      </c>
      <c r="BO41" s="72">
        <v>2.5</v>
      </c>
      <c r="BP41" s="72">
        <v>3</v>
      </c>
      <c r="BQ41" s="77">
        <v>0</v>
      </c>
      <c r="BR41" s="85">
        <f>MIN($BG$5:$BG$10)</f>
        <v>15</v>
      </c>
      <c r="BS41" s="85">
        <f>MAX($BG$5:$BG$10)</f>
        <v>40</v>
      </c>
      <c r="BT41" s="99">
        <v>0.04</v>
      </c>
      <c r="BU41" s="99">
        <v>0.19</v>
      </c>
      <c r="BV41" s="85">
        <f>MIN($BG$55:$BG$58)</f>
        <v>10</v>
      </c>
      <c r="BW41" s="85">
        <f>MAX($BG$55:$BG$58)</f>
        <v>25</v>
      </c>
      <c r="BX41" s="100">
        <v>0.05</v>
      </c>
      <c r="BY41" s="100">
        <v>0.2</v>
      </c>
      <c r="BZ41" s="97">
        <v>0.75</v>
      </c>
      <c r="CA41" s="292" t="s">
        <v>246</v>
      </c>
    </row>
    <row r="42" spans="55:79" ht="16.5" thickTop="1" thickBot="1">
      <c r="BC42" s="98" t="str">
        <f t="shared" si="13"/>
        <v>440</v>
      </c>
      <c r="BD42" s="78">
        <v>4</v>
      </c>
      <c r="BE42" s="72">
        <v>5.51</v>
      </c>
      <c r="BF42" s="72">
        <v>6</v>
      </c>
      <c r="BG42" s="73">
        <v>40</v>
      </c>
      <c r="BH42" s="86">
        <v>30</v>
      </c>
      <c r="BI42" s="96">
        <v>0.72</v>
      </c>
      <c r="BJ42" s="90" t="s">
        <v>240</v>
      </c>
      <c r="BO42" s="72">
        <v>3.01</v>
      </c>
      <c r="BP42" s="72">
        <v>4</v>
      </c>
      <c r="BQ42" s="77">
        <v>1</v>
      </c>
      <c r="BR42" s="85">
        <f>MIN($BG$12:$BG$18)</f>
        <v>10</v>
      </c>
      <c r="BS42" s="85">
        <f>MAX($BG$12:$BG$18)</f>
        <v>40</v>
      </c>
      <c r="BT42" s="99">
        <v>0.06</v>
      </c>
      <c r="BU42" s="99">
        <v>0.2</v>
      </c>
      <c r="BV42" s="85">
        <f>MIN($BG$63:$BG$65)</f>
        <v>10</v>
      </c>
      <c r="BW42" s="85">
        <f>MAX($BG$63:$BG$65)</f>
        <v>20</v>
      </c>
      <c r="BX42" s="100">
        <v>0.05</v>
      </c>
      <c r="BY42" s="100">
        <v>0.26</v>
      </c>
      <c r="BZ42" s="97">
        <v>0.7</v>
      </c>
      <c r="CA42" s="89" t="s">
        <v>247</v>
      </c>
    </row>
    <row r="43" spans="55:79" ht="16.5" thickTop="1" thickBot="1">
      <c r="BC43" s="98" t="str">
        <f t="shared" si="12"/>
        <v>55</v>
      </c>
      <c r="BD43" s="78">
        <v>5</v>
      </c>
      <c r="BE43" s="72">
        <v>6.01</v>
      </c>
      <c r="BF43" s="72">
        <v>7</v>
      </c>
      <c r="BG43" s="73">
        <v>5</v>
      </c>
      <c r="BH43" s="86">
        <v>30</v>
      </c>
      <c r="BI43" s="96">
        <v>0.67</v>
      </c>
      <c r="BJ43" s="90" t="s">
        <v>248</v>
      </c>
      <c r="BO43" s="72">
        <v>4.01</v>
      </c>
      <c r="BP43" s="72">
        <v>5</v>
      </c>
      <c r="BQ43" s="77">
        <v>2</v>
      </c>
      <c r="BR43" s="85">
        <f>MIN($BG$20:$BG$26)</f>
        <v>10</v>
      </c>
      <c r="BS43" s="85">
        <f>MAX($BG$20:$BG$26)</f>
        <v>40</v>
      </c>
      <c r="BT43" s="89">
        <v>0.12</v>
      </c>
      <c r="BU43" s="89">
        <v>0.3</v>
      </c>
      <c r="BV43" s="85">
        <f>MIN($BG$71:$BG$73)</f>
        <v>10</v>
      </c>
      <c r="BW43" s="85">
        <f>MAX($BG$71:$BG$73)</f>
        <v>20</v>
      </c>
      <c r="BX43" s="100">
        <v>0.1</v>
      </c>
      <c r="BY43" s="100">
        <v>0.33</v>
      </c>
      <c r="BZ43" s="97">
        <v>0.61</v>
      </c>
      <c r="CA43" s="292" t="s">
        <v>249</v>
      </c>
    </row>
    <row r="44" spans="55:79" ht="16.5" thickTop="1" thickBot="1">
      <c r="BC44" s="98" t="str">
        <f t="shared" si="12"/>
        <v>510</v>
      </c>
      <c r="BD44" s="78">
        <v>5</v>
      </c>
      <c r="BE44" s="72">
        <v>6.01</v>
      </c>
      <c r="BF44" s="72">
        <v>7</v>
      </c>
      <c r="BG44" s="73">
        <v>10</v>
      </c>
      <c r="BH44" s="86">
        <v>30</v>
      </c>
      <c r="BI44" s="96">
        <v>0.67</v>
      </c>
      <c r="BJ44" s="90" t="s">
        <v>248</v>
      </c>
      <c r="BO44" s="72">
        <v>5.01</v>
      </c>
      <c r="BP44" s="72">
        <v>5.5</v>
      </c>
      <c r="BQ44" s="77">
        <v>3</v>
      </c>
      <c r="BR44" s="85">
        <f>MIN($BG$27:$BG$31)</f>
        <v>5</v>
      </c>
      <c r="BS44" s="85">
        <f>MAX($BG$27:$BG$31)</f>
        <v>25</v>
      </c>
      <c r="BT44" s="89">
        <v>0.12</v>
      </c>
      <c r="BU44" s="89">
        <v>0.35</v>
      </c>
      <c r="BV44" s="85">
        <f>MIN($BG$78:$BG$79)</f>
        <v>5</v>
      </c>
      <c r="BW44" s="85">
        <f>MAX($BG$78:$BG$79)</f>
        <v>10</v>
      </c>
      <c r="BX44" s="100">
        <v>0.1</v>
      </c>
      <c r="BY44" s="100">
        <v>0.4</v>
      </c>
      <c r="BZ44" s="97">
        <v>0.56999999999999995</v>
      </c>
      <c r="CA44" s="292" t="s">
        <v>250</v>
      </c>
    </row>
    <row r="45" spans="55:79" ht="16.5" thickTop="1" thickBot="1">
      <c r="BC45" s="98" t="str">
        <f t="shared" si="12"/>
        <v>515</v>
      </c>
      <c r="BD45" s="78">
        <v>5</v>
      </c>
      <c r="BE45" s="72">
        <v>6.01</v>
      </c>
      <c r="BF45" s="72">
        <v>7</v>
      </c>
      <c r="BG45" s="73">
        <v>15</v>
      </c>
      <c r="BH45" s="86">
        <v>30</v>
      </c>
      <c r="BI45" s="96">
        <v>0.67</v>
      </c>
      <c r="BJ45" s="90" t="s">
        <v>248</v>
      </c>
      <c r="BO45" s="72">
        <v>5.51</v>
      </c>
      <c r="BP45" s="72">
        <v>6</v>
      </c>
      <c r="BQ45" s="77">
        <v>4</v>
      </c>
      <c r="BR45" s="85">
        <f>MIN($BG$35:$BG$38)</f>
        <v>5</v>
      </c>
      <c r="BS45" s="85">
        <f>MAX($BG$35:$BG$38)</f>
        <v>20</v>
      </c>
      <c r="BT45" s="89">
        <v>0.14000000000000001</v>
      </c>
      <c r="BU45" s="89">
        <v>0.38</v>
      </c>
      <c r="BV45" s="85">
        <f>MIN($BG$86:$BG$87)</f>
        <v>5</v>
      </c>
      <c r="BW45" s="85">
        <f>MAX($BG$86:$BG$87)</f>
        <v>10</v>
      </c>
      <c r="BX45" s="100">
        <v>0.2</v>
      </c>
      <c r="BY45" s="100">
        <v>0.4</v>
      </c>
      <c r="BZ45" s="97">
        <v>0.54</v>
      </c>
      <c r="CA45" s="89" t="s">
        <v>251</v>
      </c>
    </row>
    <row r="46" spans="55:79" ht="16.5" thickTop="1" thickBot="1">
      <c r="BC46" s="98" t="str">
        <f t="shared" si="12"/>
        <v>520</v>
      </c>
      <c r="BD46" s="78">
        <v>5</v>
      </c>
      <c r="BE46" s="72">
        <v>6.01</v>
      </c>
      <c r="BF46" s="72">
        <v>7</v>
      </c>
      <c r="BG46" s="73">
        <v>20</v>
      </c>
      <c r="BH46" s="86">
        <v>30</v>
      </c>
      <c r="BI46" s="96">
        <v>0.67</v>
      </c>
      <c r="BJ46" s="90" t="s">
        <v>248</v>
      </c>
      <c r="BO46" s="72">
        <v>6.01</v>
      </c>
      <c r="BP46" s="72">
        <v>7</v>
      </c>
      <c r="BQ46" s="77">
        <v>5</v>
      </c>
      <c r="BR46" s="85">
        <f>MIN($BG$43:$BG$45)</f>
        <v>5</v>
      </c>
      <c r="BS46" s="85">
        <f>MAX($BG$43:$BG$45)</f>
        <v>15</v>
      </c>
      <c r="BT46" s="89">
        <v>0.16</v>
      </c>
      <c r="BU46" s="89">
        <v>0.43</v>
      </c>
      <c r="BV46" s="85">
        <f>MIN($BG$94:$BG$95)</f>
        <v>5</v>
      </c>
      <c r="BW46" s="85">
        <f>MAX($BG$94:$BG$95)</f>
        <v>10</v>
      </c>
      <c r="BX46" s="100">
        <v>0.2</v>
      </c>
      <c r="BY46" s="100">
        <v>0.4</v>
      </c>
      <c r="BZ46" s="97">
        <v>0.54</v>
      </c>
      <c r="CA46" s="89" t="s">
        <v>251</v>
      </c>
    </row>
    <row r="47" spans="55:79" ht="16.5" thickTop="1" thickBot="1">
      <c r="BC47" s="98" t="str">
        <f t="shared" si="12"/>
        <v>525</v>
      </c>
      <c r="BD47" s="78">
        <v>5</v>
      </c>
      <c r="BE47" s="72">
        <v>6.01</v>
      </c>
      <c r="BF47" s="72">
        <v>7</v>
      </c>
      <c r="BG47" s="73">
        <v>25</v>
      </c>
      <c r="BH47" s="86">
        <v>30</v>
      </c>
      <c r="BI47" s="96">
        <v>0.67</v>
      </c>
      <c r="BJ47" s="90" t="s">
        <v>248</v>
      </c>
      <c r="BK47" t="s">
        <v>252</v>
      </c>
    </row>
    <row r="48" spans="55:79" ht="16.5" thickTop="1" thickBot="1">
      <c r="BC48" s="98" t="str">
        <f t="shared" si="12"/>
        <v>530</v>
      </c>
      <c r="BD48" s="78">
        <v>5</v>
      </c>
      <c r="BE48" s="72">
        <v>6.01</v>
      </c>
      <c r="BF48" s="72">
        <v>7</v>
      </c>
      <c r="BG48" s="73">
        <v>30</v>
      </c>
      <c r="BH48" s="86">
        <v>30</v>
      </c>
      <c r="BI48" s="96">
        <v>0.67</v>
      </c>
      <c r="BJ48" s="90" t="s">
        <v>248</v>
      </c>
    </row>
    <row r="49" spans="55:79" ht="16.5" thickTop="1" thickBot="1">
      <c r="BC49" s="98" t="str">
        <f t="shared" si="12"/>
        <v>535</v>
      </c>
      <c r="BD49" s="78">
        <v>5</v>
      </c>
      <c r="BE49" s="72">
        <v>6.01</v>
      </c>
      <c r="BF49" s="72">
        <v>7</v>
      </c>
      <c r="BG49" s="73">
        <v>35</v>
      </c>
      <c r="BH49" s="86">
        <v>30</v>
      </c>
      <c r="BI49" s="96">
        <v>0.67</v>
      </c>
      <c r="BJ49" s="90" t="s">
        <v>248</v>
      </c>
      <c r="BO49" s="104"/>
    </row>
    <row r="50" spans="55:79" ht="16.5" thickTop="1" thickBot="1">
      <c r="BC50" s="98" t="str">
        <f t="shared" si="12"/>
        <v>540</v>
      </c>
      <c r="BD50" s="78">
        <v>5</v>
      </c>
      <c r="BE50" s="72">
        <v>6.01</v>
      </c>
      <c r="BF50" s="72">
        <v>7</v>
      </c>
      <c r="BG50" s="73">
        <v>40</v>
      </c>
      <c r="BH50" s="86">
        <v>30</v>
      </c>
      <c r="BI50" s="96">
        <v>0.67</v>
      </c>
      <c r="BJ50" s="90" t="s">
        <v>248</v>
      </c>
    </row>
    <row r="51" spans="55:79" ht="15" thickTop="1">
      <c r="BH51" s="88"/>
      <c r="BI51" s="88"/>
      <c r="BJ51" s="88"/>
    </row>
    <row r="52" spans="55:79" ht="23.25" customHeight="1" thickBot="1">
      <c r="BH52" s="88"/>
      <c r="BI52" s="88"/>
      <c r="BJ52" s="88"/>
      <c r="BO52" s="105"/>
      <c r="BP52" s="105"/>
      <c r="BQ52" s="105"/>
      <c r="BR52" s="106"/>
      <c r="BS52" s="107"/>
      <c r="BT52" s="703"/>
      <c r="BU52" s="703"/>
      <c r="BV52" s="106"/>
      <c r="BW52" s="107"/>
      <c r="BX52" s="703"/>
      <c r="BY52" s="703"/>
      <c r="BZ52" s="108"/>
      <c r="CA52" s="109"/>
    </row>
    <row r="53" spans="55:79" ht="28.5" thickTop="1" thickBot="1">
      <c r="BC53" s="71" t="s">
        <v>188</v>
      </c>
      <c r="BD53" s="71" t="s">
        <v>189</v>
      </c>
      <c r="BE53" s="71" t="s">
        <v>190</v>
      </c>
      <c r="BF53" s="71" t="s">
        <v>191</v>
      </c>
      <c r="BG53" s="71" t="s">
        <v>192</v>
      </c>
      <c r="BH53" s="87" t="s">
        <v>229</v>
      </c>
      <c r="BI53" s="78" t="s">
        <v>194</v>
      </c>
      <c r="BJ53" s="92" t="s">
        <v>195</v>
      </c>
      <c r="BO53" s="104"/>
      <c r="BP53" s="104"/>
      <c r="BQ53" s="110"/>
      <c r="BR53" s="111"/>
      <c r="BS53" s="111"/>
      <c r="BT53" s="99"/>
      <c r="BU53" s="99"/>
      <c r="BV53" s="111"/>
      <c r="BW53" s="111"/>
      <c r="BX53" s="100"/>
      <c r="BY53" s="100"/>
      <c r="BZ53" s="112"/>
      <c r="CA53" s="292"/>
    </row>
    <row r="54" spans="55:79" ht="16.5" thickTop="1" thickBot="1">
      <c r="BC54" s="98" t="str">
        <f t="shared" ref="BC54" si="14">CONCATENATE(BD54,BG54)</f>
        <v>05</v>
      </c>
      <c r="BD54" s="78">
        <v>0</v>
      </c>
      <c r="BE54" s="72">
        <v>2.5</v>
      </c>
      <c r="BF54" s="72">
        <v>3</v>
      </c>
      <c r="BG54" s="73">
        <v>5</v>
      </c>
      <c r="BH54" s="86">
        <v>30</v>
      </c>
      <c r="BI54" s="97">
        <v>0.75</v>
      </c>
      <c r="BJ54" s="89" t="s">
        <v>246</v>
      </c>
      <c r="BO54" s="104"/>
      <c r="BP54" s="104"/>
      <c r="BQ54" s="110"/>
      <c r="BR54" s="111"/>
      <c r="BS54" s="111"/>
      <c r="BT54" s="99"/>
      <c r="BU54" s="99"/>
      <c r="BV54" s="111"/>
      <c r="BW54" s="111"/>
      <c r="BX54" s="100"/>
      <c r="BY54" s="100"/>
      <c r="BZ54" s="112"/>
      <c r="CA54" s="89"/>
    </row>
    <row r="55" spans="55:79" ht="16.5" thickTop="1" thickBot="1">
      <c r="BC55" s="98" t="str">
        <f t="shared" ref="BC55:BC58" si="15">CONCATENATE(BD55,BG55)</f>
        <v>010</v>
      </c>
      <c r="BD55" s="78">
        <v>0</v>
      </c>
      <c r="BE55" s="72">
        <v>2.5</v>
      </c>
      <c r="BF55" s="72">
        <v>3</v>
      </c>
      <c r="BG55" s="73">
        <v>10</v>
      </c>
      <c r="BH55" s="86">
        <v>30</v>
      </c>
      <c r="BI55" s="97">
        <v>0.75</v>
      </c>
      <c r="BJ55" s="89" t="s">
        <v>246</v>
      </c>
      <c r="BO55" s="104"/>
      <c r="BP55" s="104"/>
      <c r="BQ55" s="110"/>
      <c r="BR55" s="111"/>
      <c r="BS55" s="111"/>
      <c r="BT55" s="89"/>
      <c r="BU55" s="89"/>
      <c r="BV55" s="111"/>
      <c r="BW55" s="111"/>
      <c r="BX55" s="100"/>
      <c r="BY55" s="100"/>
      <c r="BZ55" s="112"/>
      <c r="CA55" s="292"/>
    </row>
    <row r="56" spans="55:79" ht="16.5" thickTop="1" thickBot="1">
      <c r="BC56" s="98" t="str">
        <f t="shared" si="15"/>
        <v>015</v>
      </c>
      <c r="BD56" s="78">
        <v>0</v>
      </c>
      <c r="BE56" s="72">
        <v>2.5</v>
      </c>
      <c r="BF56" s="72">
        <v>3</v>
      </c>
      <c r="BG56" s="73">
        <v>15</v>
      </c>
      <c r="BH56" s="86">
        <v>30</v>
      </c>
      <c r="BI56" s="97">
        <v>0.75</v>
      </c>
      <c r="BJ56" s="89" t="s">
        <v>246</v>
      </c>
      <c r="BO56" s="104"/>
      <c r="BP56" s="104"/>
      <c r="BQ56" s="110"/>
      <c r="BR56" s="111"/>
      <c r="BS56" s="111"/>
      <c r="BT56" s="89"/>
      <c r="BU56" s="89"/>
      <c r="BV56" s="111"/>
      <c r="BW56" s="111"/>
      <c r="BX56" s="100"/>
      <c r="BY56" s="100"/>
      <c r="BZ56" s="112"/>
      <c r="CA56" s="292"/>
    </row>
    <row r="57" spans="55:79" ht="16.5" thickTop="1" thickBot="1">
      <c r="BC57" s="98" t="str">
        <f t="shared" si="15"/>
        <v>020</v>
      </c>
      <c r="BD57" s="78">
        <v>0</v>
      </c>
      <c r="BE57" s="72">
        <v>2.5</v>
      </c>
      <c r="BF57" s="72">
        <v>3</v>
      </c>
      <c r="BG57" s="73">
        <v>20</v>
      </c>
      <c r="BH57" s="86">
        <v>30</v>
      </c>
      <c r="BI57" s="97">
        <v>0.75</v>
      </c>
      <c r="BJ57" s="89" t="s">
        <v>246</v>
      </c>
      <c r="BO57" s="104"/>
      <c r="BP57" s="104"/>
      <c r="BQ57" s="110"/>
      <c r="BR57" s="111"/>
      <c r="BS57" s="111"/>
      <c r="BT57" s="89"/>
      <c r="BU57" s="89"/>
      <c r="BV57" s="111"/>
      <c r="BW57" s="111"/>
      <c r="BX57" s="100"/>
      <c r="BY57" s="100"/>
      <c r="BZ57" s="112"/>
      <c r="CA57" s="89"/>
    </row>
    <row r="58" spans="55:79" ht="16.5" thickTop="1" thickBot="1">
      <c r="BC58" s="98" t="str">
        <f t="shared" si="15"/>
        <v>025</v>
      </c>
      <c r="BD58" s="78">
        <v>0</v>
      </c>
      <c r="BE58" s="72">
        <v>2.5</v>
      </c>
      <c r="BF58" s="72">
        <v>3</v>
      </c>
      <c r="BG58" s="73">
        <v>25</v>
      </c>
      <c r="BH58" s="86">
        <v>30</v>
      </c>
      <c r="BI58" s="97">
        <v>0.75</v>
      </c>
      <c r="BJ58" s="89" t="s">
        <v>246</v>
      </c>
      <c r="BO58" s="104"/>
      <c r="BP58" s="104"/>
      <c r="BQ58" s="110"/>
      <c r="BR58" s="111"/>
      <c r="BS58" s="111"/>
      <c r="BT58" s="89"/>
      <c r="BU58" s="89"/>
      <c r="BV58" s="111"/>
      <c r="BW58" s="111"/>
      <c r="BX58" s="100"/>
      <c r="BY58" s="100"/>
      <c r="BZ58" s="112"/>
      <c r="CA58" s="89"/>
    </row>
    <row r="59" spans="55:79" ht="16.5" thickTop="1" thickBot="1">
      <c r="BC59" s="98" t="str">
        <f t="shared" ref="BC59:BC62" si="16">CONCATENATE(BD59,BG59)</f>
        <v>030</v>
      </c>
      <c r="BD59" s="78">
        <v>0</v>
      </c>
      <c r="BE59" s="72">
        <v>2.5</v>
      </c>
      <c r="BF59" s="72">
        <v>3</v>
      </c>
      <c r="BG59" s="73">
        <v>30</v>
      </c>
      <c r="BH59" s="86">
        <v>30</v>
      </c>
      <c r="BI59" s="97">
        <v>0.75</v>
      </c>
      <c r="BJ59" s="89" t="s">
        <v>246</v>
      </c>
    </row>
    <row r="60" spans="55:79" ht="16.5" thickTop="1" thickBot="1">
      <c r="BC60" s="98" t="str">
        <f t="shared" si="16"/>
        <v>035</v>
      </c>
      <c r="BD60" s="78">
        <v>0</v>
      </c>
      <c r="BE60" s="72">
        <v>2.5</v>
      </c>
      <c r="BF60" s="72">
        <v>3</v>
      </c>
      <c r="BG60" s="73">
        <v>35</v>
      </c>
      <c r="BH60" s="86">
        <v>30</v>
      </c>
      <c r="BI60" s="97">
        <v>0.75</v>
      </c>
      <c r="BJ60" s="89" t="s">
        <v>246</v>
      </c>
    </row>
    <row r="61" spans="55:79" ht="16.5" thickTop="1" thickBot="1">
      <c r="BC61" s="98" t="str">
        <f t="shared" si="16"/>
        <v>040</v>
      </c>
      <c r="BD61" s="78">
        <v>0</v>
      </c>
      <c r="BE61" s="72">
        <v>2.5</v>
      </c>
      <c r="BF61" s="72">
        <v>3</v>
      </c>
      <c r="BG61" s="73">
        <v>40</v>
      </c>
      <c r="BH61" s="86">
        <v>30</v>
      </c>
      <c r="BI61" s="97">
        <v>0.75</v>
      </c>
      <c r="BJ61" s="89" t="s">
        <v>246</v>
      </c>
    </row>
    <row r="62" spans="55:79" ht="16.5" thickTop="1" thickBot="1">
      <c r="BC62" s="98" t="str">
        <f t="shared" si="16"/>
        <v>15</v>
      </c>
      <c r="BD62" s="78">
        <v>1</v>
      </c>
      <c r="BE62" s="72">
        <v>3.01</v>
      </c>
      <c r="BF62" s="72">
        <v>4</v>
      </c>
      <c r="BG62" s="73">
        <v>5</v>
      </c>
      <c r="BH62" s="86">
        <v>30</v>
      </c>
      <c r="BI62" s="97">
        <v>0.69</v>
      </c>
      <c r="BJ62" s="89" t="s">
        <v>253</v>
      </c>
    </row>
    <row r="63" spans="55:79" ht="16.5" thickTop="1" thickBot="1">
      <c r="BC63" s="98" t="str">
        <f t="shared" ref="BC63:BC95" si="17">CONCATENATE(BD63,BG63)</f>
        <v>110</v>
      </c>
      <c r="BD63" s="78">
        <v>1</v>
      </c>
      <c r="BE63" s="72">
        <v>3.01</v>
      </c>
      <c r="BF63" s="72">
        <v>4</v>
      </c>
      <c r="BG63" s="73">
        <v>10</v>
      </c>
      <c r="BH63" s="86">
        <v>30</v>
      </c>
      <c r="BI63" s="97">
        <v>0.69</v>
      </c>
      <c r="BJ63" s="89" t="s">
        <v>253</v>
      </c>
    </row>
    <row r="64" spans="55:79" ht="16.5" thickTop="1" thickBot="1">
      <c r="BC64" s="98" t="str">
        <f t="shared" si="17"/>
        <v>115</v>
      </c>
      <c r="BD64" s="78">
        <v>1</v>
      </c>
      <c r="BE64" s="72">
        <v>3.01</v>
      </c>
      <c r="BF64" s="72">
        <v>4</v>
      </c>
      <c r="BG64" s="73">
        <v>15</v>
      </c>
      <c r="BH64" s="86">
        <v>30</v>
      </c>
      <c r="BI64" s="97">
        <v>0.69</v>
      </c>
      <c r="BJ64" s="89" t="s">
        <v>253</v>
      </c>
    </row>
    <row r="65" spans="55:62" ht="16.5" thickTop="1" thickBot="1">
      <c r="BC65" s="98" t="str">
        <f t="shared" si="17"/>
        <v>120</v>
      </c>
      <c r="BD65" s="78">
        <v>1</v>
      </c>
      <c r="BE65" s="72">
        <v>3.01</v>
      </c>
      <c r="BF65" s="72">
        <v>4</v>
      </c>
      <c r="BG65" s="73">
        <v>20</v>
      </c>
      <c r="BH65" s="86">
        <v>30</v>
      </c>
      <c r="BI65" s="97">
        <v>0.69</v>
      </c>
      <c r="BJ65" s="89" t="s">
        <v>253</v>
      </c>
    </row>
    <row r="66" spans="55:62" ht="16.5" thickTop="1" thickBot="1">
      <c r="BC66" s="98" t="str">
        <f t="shared" ref="BC66:BC70" si="18">CONCATENATE(BD66,BG66)</f>
        <v>125</v>
      </c>
      <c r="BD66" s="78">
        <v>1</v>
      </c>
      <c r="BE66" s="72">
        <v>3.01</v>
      </c>
      <c r="BF66" s="72">
        <v>4</v>
      </c>
      <c r="BG66" s="73">
        <v>25</v>
      </c>
      <c r="BH66" s="86">
        <v>30</v>
      </c>
      <c r="BI66" s="97">
        <v>0.69</v>
      </c>
      <c r="BJ66" s="89" t="s">
        <v>253</v>
      </c>
    </row>
    <row r="67" spans="55:62" ht="16.5" thickTop="1" thickBot="1">
      <c r="BC67" s="98" t="str">
        <f t="shared" si="18"/>
        <v>130</v>
      </c>
      <c r="BD67" s="78">
        <v>1</v>
      </c>
      <c r="BE67" s="72">
        <v>3.01</v>
      </c>
      <c r="BF67" s="72">
        <v>4</v>
      </c>
      <c r="BG67" s="73">
        <v>30</v>
      </c>
      <c r="BH67" s="86">
        <v>30</v>
      </c>
      <c r="BI67" s="97">
        <v>0.69</v>
      </c>
      <c r="BJ67" s="89" t="s">
        <v>253</v>
      </c>
    </row>
    <row r="68" spans="55:62" ht="16.5" thickTop="1" thickBot="1">
      <c r="BC68" s="98" t="str">
        <f t="shared" si="18"/>
        <v>135</v>
      </c>
      <c r="BD68" s="78">
        <v>1</v>
      </c>
      <c r="BE68" s="72">
        <v>3.01</v>
      </c>
      <c r="BF68" s="72">
        <v>4</v>
      </c>
      <c r="BG68" s="73">
        <v>35</v>
      </c>
      <c r="BH68" s="86">
        <v>30</v>
      </c>
      <c r="BI68" s="97">
        <v>0.69</v>
      </c>
      <c r="BJ68" s="89" t="s">
        <v>253</v>
      </c>
    </row>
    <row r="69" spans="55:62" ht="16.5" thickTop="1" thickBot="1">
      <c r="BC69" s="98" t="str">
        <f t="shared" si="18"/>
        <v>140</v>
      </c>
      <c r="BD69" s="78">
        <v>1</v>
      </c>
      <c r="BE69" s="72">
        <v>3.01</v>
      </c>
      <c r="BF69" s="72">
        <v>4</v>
      </c>
      <c r="BG69" s="73">
        <v>40</v>
      </c>
      <c r="BH69" s="86">
        <v>30</v>
      </c>
      <c r="BI69" s="97">
        <v>0.69</v>
      </c>
      <c r="BJ69" s="89" t="s">
        <v>253</v>
      </c>
    </row>
    <row r="70" spans="55:62" ht="16.5" thickTop="1" thickBot="1">
      <c r="BC70" s="98" t="str">
        <f t="shared" si="18"/>
        <v>25</v>
      </c>
      <c r="BD70" s="78">
        <v>2</v>
      </c>
      <c r="BE70" s="72">
        <v>4.01</v>
      </c>
      <c r="BF70" s="72">
        <v>5</v>
      </c>
      <c r="BG70" s="73">
        <v>5</v>
      </c>
      <c r="BH70" s="86">
        <v>30</v>
      </c>
      <c r="BI70" s="97">
        <v>0.61</v>
      </c>
      <c r="BJ70" s="89" t="s">
        <v>249</v>
      </c>
    </row>
    <row r="71" spans="55:62" ht="16.5" thickTop="1" thickBot="1">
      <c r="BC71" s="98" t="str">
        <f t="shared" si="17"/>
        <v>210</v>
      </c>
      <c r="BD71" s="78">
        <v>2</v>
      </c>
      <c r="BE71" s="72">
        <v>4.01</v>
      </c>
      <c r="BF71" s="72">
        <v>5</v>
      </c>
      <c r="BG71" s="73">
        <v>10</v>
      </c>
      <c r="BH71" s="86">
        <v>30</v>
      </c>
      <c r="BI71" s="97">
        <v>0.61</v>
      </c>
      <c r="BJ71" s="89" t="s">
        <v>249</v>
      </c>
    </row>
    <row r="72" spans="55:62" ht="16.5" thickTop="1" thickBot="1">
      <c r="BC72" s="98" t="str">
        <f t="shared" si="17"/>
        <v>215</v>
      </c>
      <c r="BD72" s="78">
        <v>2</v>
      </c>
      <c r="BE72" s="72">
        <v>4.01</v>
      </c>
      <c r="BF72" s="72">
        <v>5</v>
      </c>
      <c r="BG72" s="73">
        <v>15</v>
      </c>
      <c r="BH72" s="86">
        <v>30</v>
      </c>
      <c r="BI72" s="97">
        <v>0.61</v>
      </c>
      <c r="BJ72" s="89" t="s">
        <v>249</v>
      </c>
    </row>
    <row r="73" spans="55:62" ht="16.5" thickTop="1" thickBot="1">
      <c r="BC73" s="98" t="str">
        <f t="shared" si="17"/>
        <v>220</v>
      </c>
      <c r="BD73" s="78">
        <v>2</v>
      </c>
      <c r="BE73" s="72">
        <v>4.01</v>
      </c>
      <c r="BF73" s="72">
        <v>5</v>
      </c>
      <c r="BG73" s="73">
        <v>20</v>
      </c>
      <c r="BH73" s="86">
        <v>30</v>
      </c>
      <c r="BI73" s="97">
        <v>0.61</v>
      </c>
      <c r="BJ73" s="89" t="s">
        <v>249</v>
      </c>
    </row>
    <row r="74" spans="55:62" ht="16.5" thickTop="1" thickBot="1">
      <c r="BC74" s="98" t="str">
        <f t="shared" ref="BC74:BC77" si="19">CONCATENATE(BD74,BG74)</f>
        <v>225</v>
      </c>
      <c r="BD74" s="78">
        <v>2</v>
      </c>
      <c r="BE74" s="72">
        <v>4.01</v>
      </c>
      <c r="BF74" s="72">
        <v>5</v>
      </c>
      <c r="BG74" s="73">
        <v>25</v>
      </c>
      <c r="BH74" s="86">
        <v>30</v>
      </c>
      <c r="BI74" s="97">
        <v>0.61</v>
      </c>
      <c r="BJ74" s="89" t="s">
        <v>249</v>
      </c>
    </row>
    <row r="75" spans="55:62" ht="16.5" thickTop="1" thickBot="1">
      <c r="BC75" s="98" t="str">
        <f t="shared" si="19"/>
        <v>230</v>
      </c>
      <c r="BD75" s="78">
        <v>2</v>
      </c>
      <c r="BE75" s="72">
        <v>4.01</v>
      </c>
      <c r="BF75" s="72">
        <v>5</v>
      </c>
      <c r="BG75" s="73">
        <v>30</v>
      </c>
      <c r="BH75" s="86">
        <v>30</v>
      </c>
      <c r="BI75" s="97">
        <v>0.61</v>
      </c>
      <c r="BJ75" s="89" t="s">
        <v>249</v>
      </c>
    </row>
    <row r="76" spans="55:62" ht="16.5" thickTop="1" thickBot="1">
      <c r="BC76" s="98" t="str">
        <f t="shared" si="19"/>
        <v>235</v>
      </c>
      <c r="BD76" s="78">
        <v>2</v>
      </c>
      <c r="BE76" s="72">
        <v>4.01</v>
      </c>
      <c r="BF76" s="72">
        <v>5</v>
      </c>
      <c r="BG76" s="73">
        <v>35</v>
      </c>
      <c r="BH76" s="86">
        <v>30</v>
      </c>
      <c r="BI76" s="97">
        <v>0.61</v>
      </c>
      <c r="BJ76" s="89" t="s">
        <v>249</v>
      </c>
    </row>
    <row r="77" spans="55:62" ht="16.5" thickTop="1" thickBot="1">
      <c r="BC77" s="98" t="str">
        <f t="shared" si="19"/>
        <v>240</v>
      </c>
      <c r="BD77" s="78">
        <v>2</v>
      </c>
      <c r="BE77" s="72">
        <v>4.01</v>
      </c>
      <c r="BF77" s="72">
        <v>5</v>
      </c>
      <c r="BG77" s="73">
        <v>40</v>
      </c>
      <c r="BH77" s="86">
        <v>30</v>
      </c>
      <c r="BI77" s="97">
        <v>0.61</v>
      </c>
      <c r="BJ77" s="89" t="s">
        <v>249</v>
      </c>
    </row>
    <row r="78" spans="55:62" ht="16.5" thickTop="1" thickBot="1">
      <c r="BC78" s="98" t="str">
        <f t="shared" si="17"/>
        <v>35</v>
      </c>
      <c r="BD78" s="78">
        <v>3</v>
      </c>
      <c r="BE78" s="72">
        <v>5.01</v>
      </c>
      <c r="BF78" s="72">
        <v>5.5</v>
      </c>
      <c r="BG78" s="73">
        <v>5</v>
      </c>
      <c r="BH78" s="86">
        <v>30</v>
      </c>
      <c r="BI78" s="97">
        <v>0.56999999999999995</v>
      </c>
      <c r="BJ78" s="89" t="s">
        <v>254</v>
      </c>
    </row>
    <row r="79" spans="55:62" ht="16.5" thickTop="1" thickBot="1">
      <c r="BC79" s="98" t="str">
        <f t="shared" si="17"/>
        <v>310</v>
      </c>
      <c r="BD79" s="78">
        <v>3</v>
      </c>
      <c r="BE79" s="72">
        <v>5.01</v>
      </c>
      <c r="BF79" s="72">
        <v>5.5</v>
      </c>
      <c r="BG79" s="73">
        <v>10</v>
      </c>
      <c r="BH79" s="86">
        <v>30</v>
      </c>
      <c r="BI79" s="97">
        <v>0.56999999999999995</v>
      </c>
      <c r="BJ79" s="89" t="s">
        <v>254</v>
      </c>
    </row>
    <row r="80" spans="55:62" ht="16.5" thickTop="1" thickBot="1">
      <c r="BC80" s="98" t="str">
        <f t="shared" ref="BC80:BC85" si="20">CONCATENATE(BD80,BG80)</f>
        <v>315</v>
      </c>
      <c r="BD80" s="78">
        <v>3</v>
      </c>
      <c r="BE80" s="72">
        <v>5.01</v>
      </c>
      <c r="BF80" s="72">
        <v>5.5</v>
      </c>
      <c r="BG80" s="73">
        <v>15</v>
      </c>
      <c r="BH80" s="86">
        <v>30</v>
      </c>
      <c r="BI80" s="97">
        <v>0.56999999999999995</v>
      </c>
      <c r="BJ80" s="89" t="s">
        <v>254</v>
      </c>
    </row>
    <row r="81" spans="55:62" ht="16.5" thickTop="1" thickBot="1">
      <c r="BC81" s="98" t="str">
        <f t="shared" si="20"/>
        <v>320</v>
      </c>
      <c r="BD81" s="78">
        <v>3</v>
      </c>
      <c r="BE81" s="72">
        <v>5.01</v>
      </c>
      <c r="BF81" s="72">
        <v>5.5</v>
      </c>
      <c r="BG81" s="73">
        <v>20</v>
      </c>
      <c r="BH81" s="86">
        <v>30</v>
      </c>
      <c r="BI81" s="97">
        <v>0.56999999999999995</v>
      </c>
      <c r="BJ81" s="89" t="s">
        <v>254</v>
      </c>
    </row>
    <row r="82" spans="55:62" ht="16.5" thickTop="1" thickBot="1">
      <c r="BC82" s="98" t="str">
        <f t="shared" si="20"/>
        <v>325</v>
      </c>
      <c r="BD82" s="78">
        <v>3</v>
      </c>
      <c r="BE82" s="72">
        <v>5.01</v>
      </c>
      <c r="BF82" s="72">
        <v>5.5</v>
      </c>
      <c r="BG82" s="73">
        <v>25</v>
      </c>
      <c r="BH82" s="86">
        <v>30</v>
      </c>
      <c r="BI82" s="97">
        <v>0.56999999999999995</v>
      </c>
      <c r="BJ82" s="89" t="s">
        <v>254</v>
      </c>
    </row>
    <row r="83" spans="55:62" ht="16.5" thickTop="1" thickBot="1">
      <c r="BC83" s="98" t="str">
        <f t="shared" si="20"/>
        <v>330</v>
      </c>
      <c r="BD83" s="78">
        <v>3</v>
      </c>
      <c r="BE83" s="72">
        <v>5.01</v>
      </c>
      <c r="BF83" s="72">
        <v>5.5</v>
      </c>
      <c r="BG83" s="73">
        <v>30</v>
      </c>
      <c r="BH83" s="86">
        <v>30</v>
      </c>
      <c r="BI83" s="97">
        <v>0.56999999999999995</v>
      </c>
      <c r="BJ83" s="89" t="s">
        <v>254</v>
      </c>
    </row>
    <row r="84" spans="55:62" ht="16.5" thickTop="1" thickBot="1">
      <c r="BC84" s="98" t="str">
        <f t="shared" si="20"/>
        <v>335</v>
      </c>
      <c r="BD84" s="78">
        <v>3</v>
      </c>
      <c r="BE84" s="72">
        <v>5.01</v>
      </c>
      <c r="BF84" s="72">
        <v>5.5</v>
      </c>
      <c r="BG84" s="73">
        <v>35</v>
      </c>
      <c r="BH84" s="86">
        <v>30</v>
      </c>
      <c r="BI84" s="97">
        <v>0.56999999999999995</v>
      </c>
      <c r="BJ84" s="89" t="s">
        <v>254</v>
      </c>
    </row>
    <row r="85" spans="55:62" ht="16.5" thickTop="1" thickBot="1">
      <c r="BC85" s="98" t="str">
        <f t="shared" si="20"/>
        <v>340</v>
      </c>
      <c r="BD85" s="78">
        <v>3</v>
      </c>
      <c r="BE85" s="72">
        <v>5.01</v>
      </c>
      <c r="BF85" s="72">
        <v>5.5</v>
      </c>
      <c r="BG85" s="73">
        <v>40</v>
      </c>
      <c r="BH85" s="86">
        <v>30</v>
      </c>
      <c r="BI85" s="97">
        <v>0.56999999999999995</v>
      </c>
      <c r="BJ85" s="89" t="s">
        <v>254</v>
      </c>
    </row>
    <row r="86" spans="55:62" ht="16.5" thickTop="1" thickBot="1">
      <c r="BC86" s="98" t="str">
        <f t="shared" si="17"/>
        <v>45</v>
      </c>
      <c r="BD86" s="78">
        <v>4</v>
      </c>
      <c r="BE86" s="72">
        <v>5.51</v>
      </c>
      <c r="BF86" s="72">
        <v>6</v>
      </c>
      <c r="BG86" s="73">
        <v>5</v>
      </c>
      <c r="BH86" s="86">
        <v>30</v>
      </c>
      <c r="BI86" s="97">
        <v>0.56999999999999995</v>
      </c>
      <c r="BJ86" s="89" t="s">
        <v>251</v>
      </c>
    </row>
    <row r="87" spans="55:62" ht="16.5" thickTop="1" thickBot="1">
      <c r="BC87" s="98" t="str">
        <f t="shared" si="17"/>
        <v>410</v>
      </c>
      <c r="BD87" s="78">
        <v>4</v>
      </c>
      <c r="BE87" s="72">
        <v>5.51</v>
      </c>
      <c r="BF87" s="72">
        <v>6</v>
      </c>
      <c r="BG87" s="73">
        <v>10</v>
      </c>
      <c r="BH87" s="86">
        <v>30</v>
      </c>
      <c r="BI87" s="97">
        <v>0.54</v>
      </c>
      <c r="BJ87" s="89" t="s">
        <v>251</v>
      </c>
    </row>
    <row r="88" spans="55:62" ht="16.5" thickTop="1" thickBot="1">
      <c r="BC88" s="98" t="str">
        <f t="shared" ref="BC88:BC93" si="21">CONCATENATE(BD88,BG88)</f>
        <v>415</v>
      </c>
      <c r="BD88" s="78">
        <v>4</v>
      </c>
      <c r="BE88" s="72">
        <v>5.51</v>
      </c>
      <c r="BF88" s="72">
        <v>6</v>
      </c>
      <c r="BG88" s="73">
        <v>15</v>
      </c>
      <c r="BH88" s="86">
        <v>30</v>
      </c>
      <c r="BI88" s="97">
        <v>0.54</v>
      </c>
      <c r="BJ88" s="89" t="s">
        <v>251</v>
      </c>
    </row>
    <row r="89" spans="55:62" ht="16.5" thickTop="1" thickBot="1">
      <c r="BC89" s="98" t="str">
        <f t="shared" si="21"/>
        <v>420</v>
      </c>
      <c r="BD89" s="78">
        <v>4</v>
      </c>
      <c r="BE89" s="72">
        <v>5.51</v>
      </c>
      <c r="BF89" s="72">
        <v>6</v>
      </c>
      <c r="BG89" s="73">
        <v>20</v>
      </c>
      <c r="BH89" s="86">
        <v>30</v>
      </c>
      <c r="BI89" s="97">
        <v>0.54</v>
      </c>
      <c r="BJ89" s="89" t="s">
        <v>251</v>
      </c>
    </row>
    <row r="90" spans="55:62" ht="16.5" thickTop="1" thickBot="1">
      <c r="BC90" s="98" t="str">
        <f t="shared" si="21"/>
        <v>425</v>
      </c>
      <c r="BD90" s="78">
        <v>4</v>
      </c>
      <c r="BE90" s="72">
        <v>5.51</v>
      </c>
      <c r="BF90" s="72">
        <v>6</v>
      </c>
      <c r="BG90" s="73">
        <v>25</v>
      </c>
      <c r="BH90" s="86">
        <v>30</v>
      </c>
      <c r="BI90" s="97">
        <v>0.54</v>
      </c>
      <c r="BJ90" s="89" t="s">
        <v>251</v>
      </c>
    </row>
    <row r="91" spans="55:62" ht="16.5" thickTop="1" thickBot="1">
      <c r="BC91" s="98" t="str">
        <f t="shared" si="21"/>
        <v>430</v>
      </c>
      <c r="BD91" s="78">
        <v>4</v>
      </c>
      <c r="BE91" s="72">
        <v>5.51</v>
      </c>
      <c r="BF91" s="72">
        <v>6</v>
      </c>
      <c r="BG91" s="73">
        <v>30</v>
      </c>
      <c r="BH91" s="86">
        <v>30</v>
      </c>
      <c r="BI91" s="97">
        <v>0.54</v>
      </c>
      <c r="BJ91" s="89" t="s">
        <v>251</v>
      </c>
    </row>
    <row r="92" spans="55:62" ht="16.5" thickTop="1" thickBot="1">
      <c r="BC92" s="98" t="str">
        <f t="shared" si="21"/>
        <v>435</v>
      </c>
      <c r="BD92" s="78">
        <v>4</v>
      </c>
      <c r="BE92" s="72">
        <v>5.51</v>
      </c>
      <c r="BF92" s="72">
        <v>6</v>
      </c>
      <c r="BG92" s="73">
        <v>35</v>
      </c>
      <c r="BH92" s="86">
        <v>30</v>
      </c>
      <c r="BI92" s="97">
        <v>0.54</v>
      </c>
      <c r="BJ92" s="89" t="s">
        <v>251</v>
      </c>
    </row>
    <row r="93" spans="55:62" ht="16.5" thickTop="1" thickBot="1">
      <c r="BC93" s="98" t="str">
        <f t="shared" si="21"/>
        <v>440</v>
      </c>
      <c r="BD93" s="78">
        <v>4</v>
      </c>
      <c r="BE93" s="72">
        <v>5.51</v>
      </c>
      <c r="BF93" s="72">
        <v>6</v>
      </c>
      <c r="BG93" s="73">
        <v>40</v>
      </c>
      <c r="BH93" s="86">
        <v>30</v>
      </c>
      <c r="BI93" s="97">
        <v>0.54</v>
      </c>
      <c r="BJ93" s="89" t="s">
        <v>251</v>
      </c>
    </row>
    <row r="94" spans="55:62" ht="16.5" thickTop="1" thickBot="1">
      <c r="BC94" s="98" t="str">
        <f t="shared" si="17"/>
        <v>55</v>
      </c>
      <c r="BD94" s="78">
        <v>5</v>
      </c>
      <c r="BE94" s="72">
        <v>6.01</v>
      </c>
      <c r="BF94" s="72">
        <v>7</v>
      </c>
      <c r="BG94" s="73">
        <v>5</v>
      </c>
      <c r="BH94" s="86">
        <v>30</v>
      </c>
      <c r="BI94" s="97">
        <v>0.54</v>
      </c>
      <c r="BJ94" s="89" t="s">
        <v>251</v>
      </c>
    </row>
    <row r="95" spans="55:62" ht="16.5" thickTop="1" thickBot="1">
      <c r="BC95" s="98" t="str">
        <f t="shared" si="17"/>
        <v>510</v>
      </c>
      <c r="BD95" s="78">
        <v>5</v>
      </c>
      <c r="BE95" s="72">
        <v>6.01</v>
      </c>
      <c r="BF95" s="72">
        <v>7</v>
      </c>
      <c r="BG95" s="73">
        <v>10</v>
      </c>
      <c r="BH95" s="86">
        <v>30</v>
      </c>
      <c r="BI95" s="97">
        <v>0.54</v>
      </c>
      <c r="BJ95" s="89" t="s">
        <v>251</v>
      </c>
    </row>
    <row r="96" spans="55:62" ht="16.5" thickTop="1" thickBot="1">
      <c r="BC96" s="98" t="str">
        <f t="shared" ref="BC96:BC101" si="22">CONCATENATE(BD96,BG96)</f>
        <v>515</v>
      </c>
      <c r="BD96" s="78">
        <v>5</v>
      </c>
      <c r="BE96" s="72">
        <v>6.01</v>
      </c>
      <c r="BF96" s="72">
        <v>7</v>
      </c>
      <c r="BG96" s="73">
        <v>15</v>
      </c>
      <c r="BH96" s="86">
        <v>30</v>
      </c>
      <c r="BI96" s="97">
        <v>0.54</v>
      </c>
      <c r="BJ96" s="89" t="s">
        <v>251</v>
      </c>
    </row>
    <row r="97" spans="55:62" ht="16.5" thickTop="1" thickBot="1">
      <c r="BC97" s="98" t="str">
        <f t="shared" si="22"/>
        <v>520</v>
      </c>
      <c r="BD97" s="78">
        <v>5</v>
      </c>
      <c r="BE97" s="72">
        <v>6.01</v>
      </c>
      <c r="BF97" s="72">
        <v>7</v>
      </c>
      <c r="BG97" s="73">
        <v>20</v>
      </c>
      <c r="BH97" s="86">
        <v>30</v>
      </c>
      <c r="BI97" s="97">
        <v>0.54</v>
      </c>
      <c r="BJ97" s="89" t="s">
        <v>251</v>
      </c>
    </row>
    <row r="98" spans="55:62" ht="16.5" thickTop="1" thickBot="1">
      <c r="BC98" s="98" t="str">
        <f t="shared" si="22"/>
        <v>525</v>
      </c>
      <c r="BD98" s="78">
        <v>5</v>
      </c>
      <c r="BE98" s="72">
        <v>6.01</v>
      </c>
      <c r="BF98" s="72">
        <v>7</v>
      </c>
      <c r="BG98" s="73">
        <v>25</v>
      </c>
      <c r="BH98" s="86">
        <v>30</v>
      </c>
      <c r="BI98" s="97">
        <v>0.54</v>
      </c>
      <c r="BJ98" s="89" t="s">
        <v>251</v>
      </c>
    </row>
    <row r="99" spans="55:62" ht="16.5" thickTop="1" thickBot="1">
      <c r="BC99" s="98" t="str">
        <f t="shared" si="22"/>
        <v>530</v>
      </c>
      <c r="BD99" s="78">
        <v>5</v>
      </c>
      <c r="BE99" s="72">
        <v>6.01</v>
      </c>
      <c r="BF99" s="72">
        <v>7</v>
      </c>
      <c r="BG99" s="73">
        <v>30</v>
      </c>
      <c r="BH99" s="86">
        <v>30</v>
      </c>
      <c r="BI99" s="97">
        <v>0.54</v>
      </c>
      <c r="BJ99" s="89" t="s">
        <v>251</v>
      </c>
    </row>
    <row r="100" spans="55:62" ht="16.5" thickTop="1" thickBot="1">
      <c r="BC100" s="98" t="str">
        <f t="shared" si="22"/>
        <v>535</v>
      </c>
      <c r="BD100" s="78">
        <v>5</v>
      </c>
      <c r="BE100" s="72">
        <v>6.01</v>
      </c>
      <c r="BF100" s="72">
        <v>7</v>
      </c>
      <c r="BG100" s="73">
        <v>35</v>
      </c>
      <c r="BH100" s="86">
        <v>30</v>
      </c>
      <c r="BI100" s="97">
        <v>0.54</v>
      </c>
      <c r="BJ100" s="89" t="s">
        <v>251</v>
      </c>
    </row>
    <row r="101" spans="55:62" ht="16.5" thickTop="1" thickBot="1">
      <c r="BC101" s="98" t="str">
        <f t="shared" si="22"/>
        <v>540</v>
      </c>
      <c r="BD101" s="78">
        <v>5</v>
      </c>
      <c r="BE101" s="72">
        <v>6.01</v>
      </c>
      <c r="BF101" s="72">
        <v>7</v>
      </c>
      <c r="BG101" s="73">
        <v>40</v>
      </c>
      <c r="BH101" s="86">
        <v>30</v>
      </c>
      <c r="BI101" s="97">
        <v>0.54</v>
      </c>
      <c r="BJ101" s="89" t="s">
        <v>251</v>
      </c>
    </row>
    <row r="102" spans="55:62" ht="15" thickTop="1"/>
  </sheetData>
  <mergeCells count="5">
    <mergeCell ref="BT40:BU40"/>
    <mergeCell ref="BX40:BY40"/>
    <mergeCell ref="BT52:BU52"/>
    <mergeCell ref="BX52:BY52"/>
    <mergeCell ref="AS3:AS4"/>
  </mergeCells>
  <phoneticPr fontId="6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A Z 1 n W V 9 7 s f W m A A A A 9 g A A A B I A H A B D b 2 5 m a W c v U G F j a 2 F n Z S 5 4 b W w g o h g A K K A U A A A A A A A A A A A A A A A A A A A A A A A A A A A A h Y 9 N D o I w G E S v Q r q n P 2 C i k o + y c G U i i Y n G u G 1 q h U Y o h h b L 3 V x 4 J K 8 g R l F 3 L u f N W 8 z c r z f I + r o K L q q 1 u j E p Y p i i Q B n Z H L Q p U t S 5 Y z h D G Y e 1 k C d R q G C Q j U 1 6 e 0 h R 6 d w 5 I c R 7 j 3 2 M m 7 Y g E a W M 7 P P V R p a q F u g j 6 / 9 y q I 1 1 w k i F O O x e Y 3 i E W T z B b D r H F M g I I d f m K 0 T D 3 m f 7 A 2 H R V a 5 r F d c u X G 6 B j B H I + w N / A F B L A w Q U A A I A C A A B n W d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Z 1 n W S i K R 7 g O A A A A E Q A A A B M A H A B G b 3 J t d W x h c y 9 T Z W N 0 a W 9 u M S 5 t I K I Y A C i g F A A A A A A A A A A A A A A A A A A A A A A A A A A A A C t O T S 7 J z M 9 T C I b Q h t Y A U E s B A i 0 A F A A C A A g A A Z 1 n W V 9 7 s f W m A A A A 9 g A A A B I A A A A A A A A A A A A A A A A A A A A A A E N v b m Z p Z y 9 Q Y W N r Y W d l L n h t b F B L A Q I t A B Q A A g A I A A G d Z 1 k P y u m r p A A A A O k A A A A T A A A A A A A A A A A A A A A A A P I A A A B b Q 2 9 u d G V u d F 9 U e X B l c 1 0 u e G 1 s U E s B A i 0 A F A A C A A g A A Z 1 n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m S 6 5 3 Z 9 e N M u S u 9 i d J V 2 0 g A A A A A A g A A A A A A E G Y A A A A B A A A g A A A A G N Z f a + 3 M z A n X N C e E 2 9 S Z k z w 9 6 q 8 P G n X 9 G + B M S C 1 t X P E A A A A A D o A A A A A C A A A g A A A A V m a 9 V L z m D w 0 h 6 H u u U / a s w T 7 a 2 L Z V i i u 3 v h x 4 d a p z j q B Q A A A A z z J 9 5 3 b y z p J 6 h c d q 8 H b L n c 3 0 H Z x q m b c Z n X r 4 q A a A C I N f I w b l e D d W 0 1 a y X b / c z g A 9 y / g t t t j z 5 7 r 1 j 5 0 m 6 5 B J E P y r Q m d o b t Z l L x r e 9 o x R c w 1 A A A A A t h Z J 0 p 2 U G B e 1 j g y 5 / 6 g 9 b 4 P 6 n + I g B Y 3 1 D i p o 1 k W N X p 1 F I 1 n k + l f F 4 R 3 + a J t c J X 4 a C K R i T f g r E 2 Z S 8 j q A g S 0 3 6 A = = < / D a t a M a s h u p > 
</file>

<file path=customXml/itemProps1.xml><?xml version="1.0" encoding="utf-8"?>
<ds:datastoreItem xmlns:ds="http://schemas.openxmlformats.org/officeDocument/2006/customXml" ds:itemID="{22C1BBF5-0F9B-411D-A1D9-CC906FFDAB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Calcolatore  con maggiorata  1</vt:lpstr>
      <vt:lpstr>vstart</vt:lpstr>
      <vt:lpstr>Robybet</vt:lpstr>
      <vt:lpstr>Rebet.24</vt:lpstr>
      <vt:lpstr>.</vt:lpstr>
      <vt:lpstr>..</vt:lpstr>
      <vt:lpstr>'.'!ValAmmessi</vt:lpstr>
      <vt:lpstr>ValAmmessi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 NUOVA CRIMAR SRL P.Iva 09311681218</dc:creator>
  <cp:keywords/>
  <dc:description/>
  <cp:lastModifiedBy>Roberto</cp:lastModifiedBy>
  <cp:revision/>
  <dcterms:created xsi:type="dcterms:W3CDTF">2024-10-13T08:51:48Z</dcterms:created>
  <dcterms:modified xsi:type="dcterms:W3CDTF">2024-12-06T11:11:24Z</dcterms:modified>
  <cp:category/>
  <cp:contentStatus/>
</cp:coreProperties>
</file>